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X:\SECURE-DR\3-DD\5. TURPE HTA-BT\TURPE 6\19. Ajustements annuels\2023\"/>
    </mc:Choice>
  </mc:AlternateContent>
  <xr:revisionPtr revIDLastSave="0" documentId="8_{085212FD-0D2A-44D3-82F0-0DA66219EA03}" xr6:coauthVersionLast="47" xr6:coauthVersionMax="47" xr10:uidLastSave="{00000000-0000-0000-0000-000000000000}"/>
  <bookViews>
    <workbookView xWindow="-120" yWindow="-120" windowWidth="29040" windowHeight="15720" activeTab="4" xr2:uid="{0DBFC93D-E75D-40DA-B3B9-4C3E5763E238}"/>
  </bookViews>
  <sheets>
    <sheet name="NOTICE" sheetId="1" r:id="rId1"/>
    <sheet name="Equilibre prévisionnel" sheetId="3" r:id="rId2"/>
    <sheet name="IPC" sheetId="4" r:id="rId3"/>
    <sheet name="Montants réalisés" sheetId="6" r:id="rId4"/>
    <sheet name="CRCP &amp; Evolutions" sheetId="7" r:id="rId5"/>
    <sheet name="Rf et Ccard" sheetId="2" r:id="rId6"/>
    <sheet name="Grille tarifaire" sheetId="8" r:id="rId7"/>
    <sheet name="CG" sheetId="9" r:id="rId8"/>
    <sheet name="CC" sheetId="11" r:id="rId9"/>
    <sheet name="CI" sheetId="12" r:id="rId10"/>
    <sheet name="CS et CMDPS - HTA" sheetId="15" r:id="rId11"/>
    <sheet name="CS et CMDPS - BT&gt;36" sheetId="13" r:id="rId12"/>
    <sheet name="CS - BT&lt;36" sheetId="14" r:id="rId13"/>
    <sheet name="CACS" sheetId="18" r:id="rId14"/>
    <sheet name="CR" sheetId="16" r:id="rId15"/>
    <sheet name="CT" sheetId="17" r:id="rId16"/>
    <sheet name="CER" sheetId="19" r:id="rId17"/>
  </sheets>
  <definedNames>
    <definedName name="_xlnm._FilterDatabase" localSheetId="6" hidden="1">'Grille tarifaire'!$A$6:$T$6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 i="7" l="1"/>
  <c r="I18" i="7"/>
  <c r="I62" i="7"/>
  <c r="H53" i="7"/>
  <c r="H72" i="7"/>
  <c r="G72" i="7"/>
  <c r="H74" i="7"/>
  <c r="I44" i="3"/>
  <c r="H51" i="7" l="1"/>
  <c r="H18" i="7"/>
  <c r="F6" i="6"/>
  <c r="F12" i="6" s="1"/>
  <c r="H17" i="7" s="1"/>
  <c r="H55" i="7" l="1"/>
  <c r="F15" i="6" l="1"/>
  <c r="H62" i="7" l="1"/>
  <c r="J52" i="3" l="1"/>
  <c r="J53" i="3"/>
  <c r="I56" i="3"/>
  <c r="I54" i="3"/>
  <c r="C35" i="2" l="1"/>
  <c r="F14" i="2"/>
  <c r="H63" i="7" l="1"/>
  <c r="H65" i="7" s="1"/>
  <c r="F40" i="6" l="1"/>
  <c r="G40" i="6"/>
  <c r="H40" i="6"/>
  <c r="E40" i="6"/>
  <c r="Q23" i="8" l="1"/>
  <c r="I8" i="11"/>
  <c r="I7" i="11"/>
  <c r="Q32" i="8"/>
  <c r="Q31" i="8"/>
  <c r="M32" i="8"/>
  <c r="J32" i="8"/>
  <c r="K32" i="8" s="1"/>
  <c r="L32" i="8" s="1"/>
  <c r="C21" i="2" l="1"/>
  <c r="E15" i="6"/>
  <c r="G20" i="7" l="1"/>
  <c r="H20" i="7"/>
  <c r="J20" i="7"/>
  <c r="H75" i="7" l="1"/>
  <c r="H56" i="3"/>
  <c r="K23" i="8"/>
  <c r="L23" i="8" s="1"/>
  <c r="K33" i="8"/>
  <c r="L33" i="8" s="1"/>
  <c r="K34" i="8"/>
  <c r="L34" i="8" s="1"/>
  <c r="J23" i="8"/>
  <c r="J24" i="8"/>
  <c r="K24" i="8" s="1"/>
  <c r="J26" i="8"/>
  <c r="J27" i="8"/>
  <c r="J28" i="8"/>
  <c r="K28" i="8" s="1"/>
  <c r="L28" i="8" s="1"/>
  <c r="J29" i="8"/>
  <c r="J30" i="8"/>
  <c r="K30" i="8" s="1"/>
  <c r="J31" i="8"/>
  <c r="K31" i="8" s="1"/>
  <c r="J33" i="8"/>
  <c r="J34" i="8"/>
  <c r="J8" i="8"/>
  <c r="K8" i="8" s="1"/>
  <c r="J9" i="8"/>
  <c r="K9" i="8" s="1"/>
  <c r="J10" i="8"/>
  <c r="K10" i="8" s="1"/>
  <c r="L10" i="8" s="1"/>
  <c r="J11" i="8"/>
  <c r="J12" i="8"/>
  <c r="K12" i="8" s="1"/>
  <c r="J13" i="8"/>
  <c r="K13" i="8" s="1"/>
  <c r="J14" i="8"/>
  <c r="J15" i="8"/>
  <c r="K15" i="8" s="1"/>
  <c r="L15" i="8" s="1"/>
  <c r="J16" i="8"/>
  <c r="K16" i="8" s="1"/>
  <c r="J17" i="8"/>
  <c r="K17" i="8" s="1"/>
  <c r="J18" i="8"/>
  <c r="J19" i="8"/>
  <c r="J20" i="8"/>
  <c r="J21" i="8"/>
  <c r="K21" i="8" s="1"/>
  <c r="J7" i="8"/>
  <c r="L12" i="8" l="1"/>
  <c r="L30" i="8"/>
  <c r="L17" i="8"/>
  <c r="L9" i="8"/>
  <c r="L16" i="8"/>
  <c r="L8" i="8"/>
  <c r="L24" i="8"/>
  <c r="L21" i="8"/>
  <c r="L13" i="8"/>
  <c r="L31" i="8"/>
  <c r="K29" i="8"/>
  <c r="K11" i="8"/>
  <c r="K20" i="8"/>
  <c r="K27" i="8"/>
  <c r="K14" i="8"/>
  <c r="K26" i="8"/>
  <c r="K19" i="8"/>
  <c r="K18" i="8"/>
  <c r="K7" i="8"/>
  <c r="L19" i="8" l="1"/>
  <c r="L11" i="8"/>
  <c r="L14" i="8"/>
  <c r="L29" i="8"/>
  <c r="L7" i="8"/>
  <c r="L26" i="8"/>
  <c r="L18" i="8"/>
  <c r="L27" i="8"/>
  <c r="L20" i="8"/>
  <c r="Q7" i="8" l="1"/>
  <c r="E6" i="6" l="1"/>
  <c r="G75" i="7"/>
  <c r="G54" i="7" l="1"/>
  <c r="G76" i="7"/>
  <c r="G55" i="7" l="1"/>
  <c r="G18" i="7"/>
  <c r="G20" i="4"/>
  <c r="H20" i="4" s="1"/>
  <c r="J18" i="7" s="1"/>
  <c r="F20" i="4"/>
  <c r="G18" i="4"/>
  <c r="H18" i="4"/>
  <c r="F18" i="4"/>
  <c r="H19" i="4"/>
  <c r="G19" i="4"/>
  <c r="F19" i="4"/>
  <c r="H17" i="4"/>
  <c r="G17" i="4"/>
  <c r="F17" i="4"/>
  <c r="F8" i="7" l="1"/>
  <c r="G8" i="7"/>
  <c r="H8" i="7"/>
  <c r="I8" i="7"/>
  <c r="J8" i="7"/>
  <c r="F9" i="7"/>
  <c r="I9" i="7"/>
  <c r="J9" i="7"/>
  <c r="H44" i="3"/>
  <c r="H55" i="3"/>
  <c r="H49" i="3"/>
  <c r="H50" i="3"/>
  <c r="I55" i="3"/>
  <c r="I49" i="3"/>
  <c r="H53" i="3"/>
  <c r="H52" i="3" l="1"/>
  <c r="I64" i="7" l="1"/>
  <c r="J64" i="7"/>
  <c r="H64" i="7"/>
  <c r="AR17" i="13" l="1"/>
  <c r="AQ17" i="13"/>
  <c r="AM17" i="13"/>
  <c r="AL17" i="13"/>
  <c r="AB17" i="13"/>
  <c r="AA17" i="13"/>
  <c r="W17" i="13"/>
  <c r="V17" i="13"/>
  <c r="Q142" i="8" l="1"/>
  <c r="AI7" i="14" s="1"/>
  <c r="Q133" i="8"/>
  <c r="Y7" i="14" s="1"/>
  <c r="Q131" i="8"/>
  <c r="V7" i="14" s="1"/>
  <c r="Q126" i="8"/>
  <c r="P7" i="14" s="1"/>
  <c r="Q123" i="8"/>
  <c r="L7" i="14" s="1"/>
  <c r="Q118" i="8"/>
  <c r="F7" i="14" s="1"/>
  <c r="Q116" i="8"/>
  <c r="C7" i="14" s="1"/>
  <c r="G9" i="11"/>
  <c r="Q30" i="8"/>
  <c r="G8" i="11" s="1"/>
  <c r="Q29" i="8"/>
  <c r="G7" i="11" s="1"/>
  <c r="Q28" i="8"/>
  <c r="C7" i="11" s="1"/>
  <c r="Q27" i="8"/>
  <c r="P9" i="9" s="1"/>
  <c r="Q26" i="8"/>
  <c r="P8" i="9" s="1"/>
  <c r="Q24" i="8"/>
  <c r="O9" i="9" s="1"/>
  <c r="O8" i="9"/>
  <c r="Q21" i="8"/>
  <c r="L9" i="9" s="1"/>
  <c r="Q20" i="8"/>
  <c r="L8" i="9" s="1"/>
  <c r="Q19" i="8"/>
  <c r="L7" i="9" s="1"/>
  <c r="Q18" i="8"/>
  <c r="K9" i="9" s="1"/>
  <c r="Q17" i="8"/>
  <c r="K8" i="9" s="1"/>
  <c r="Q16" i="8"/>
  <c r="K7" i="9" s="1"/>
  <c r="Q15" i="8"/>
  <c r="H9" i="9" s="1"/>
  <c r="Q14" i="8"/>
  <c r="H8" i="9" s="1"/>
  <c r="Q13" i="8"/>
  <c r="H7" i="9" s="1"/>
  <c r="Q12" i="8"/>
  <c r="E9" i="9" s="1"/>
  <c r="Q11" i="8"/>
  <c r="E8" i="9" s="1"/>
  <c r="Q10" i="8"/>
  <c r="E7" i="9" s="1"/>
  <c r="Q8" i="8"/>
  <c r="D8" i="9" s="1"/>
  <c r="Q9" i="8"/>
  <c r="D9" i="9" s="1"/>
  <c r="D7" i="9"/>
  <c r="D13" i="2" l="1"/>
  <c r="D14" i="2" s="1"/>
  <c r="C20" i="2" l="1"/>
  <c r="D20" i="2"/>
  <c r="D21" i="2"/>
  <c r="D19" i="2"/>
  <c r="C19" i="2"/>
  <c r="Q150" i="8" l="1"/>
  <c r="AQ7" i="14" s="1"/>
  <c r="Q149" i="8"/>
  <c r="AP7" i="14" s="1"/>
  <c r="Q148" i="8"/>
  <c r="AO7" i="14" s="1"/>
  <c r="Q147" i="8"/>
  <c r="AN7" i="14" s="1"/>
  <c r="Q146" i="8"/>
  <c r="AM7" i="14" s="1"/>
  <c r="Q145" i="8"/>
  <c r="AL7" i="14" s="1"/>
  <c r="Q144" i="8"/>
  <c r="AK7" i="14" s="1"/>
  <c r="Q143" i="8"/>
  <c r="AJ7" i="14" s="1"/>
  <c r="Q141" i="8"/>
  <c r="AG7" i="14" s="1"/>
  <c r="Q140" i="8"/>
  <c r="AF7" i="14" s="1"/>
  <c r="Q139" i="8"/>
  <c r="AE7" i="14" s="1"/>
  <c r="Q138" i="8"/>
  <c r="AD7" i="14" s="1"/>
  <c r="Q137" i="8"/>
  <c r="AC7" i="14" s="1"/>
  <c r="Q136" i="8"/>
  <c r="AB7" i="14" s="1"/>
  <c r="Q135" i="8"/>
  <c r="AA7" i="14" s="1"/>
  <c r="Q134" i="8"/>
  <c r="Z7" i="14" s="1"/>
  <c r="Q114" i="8"/>
  <c r="AS7" i="13" s="1"/>
  <c r="Q113" i="8"/>
  <c r="AR7" i="13" s="1"/>
  <c r="Q112" i="8"/>
  <c r="AQ7" i="13" s="1"/>
  <c r="Q111" i="8"/>
  <c r="AP7" i="13" s="1"/>
  <c r="Q110" i="8"/>
  <c r="AO7" i="13" s="1"/>
  <c r="Q109" i="8"/>
  <c r="AN7" i="13" s="1"/>
  <c r="Q108" i="8"/>
  <c r="AM7" i="13" s="1"/>
  <c r="Q107" i="8"/>
  <c r="AL7" i="13" s="1"/>
  <c r="Q106" i="8"/>
  <c r="AI7" i="13" s="1"/>
  <c r="Q105" i="8"/>
  <c r="AH7" i="13" s="1"/>
  <c r="Q104" i="8"/>
  <c r="AG7" i="13" s="1"/>
  <c r="Q103" i="8"/>
  <c r="AF7" i="13" s="1"/>
  <c r="Q99" i="8"/>
  <c r="Z7" i="13" s="1"/>
  <c r="Q98" i="8"/>
  <c r="Y7" i="13" s="1"/>
  <c r="Q97" i="8"/>
  <c r="X7" i="13" s="1"/>
  <c r="Q96" i="8"/>
  <c r="W7" i="13" s="1"/>
  <c r="Q102" i="8"/>
  <c r="AC7" i="13" s="1"/>
  <c r="Q101" i="8"/>
  <c r="AB7" i="13" s="1"/>
  <c r="Q100" i="8"/>
  <c r="AA7" i="13" s="1"/>
  <c r="Q95" i="8"/>
  <c r="V7" i="13" s="1"/>
  <c r="Q94" i="8"/>
  <c r="S7" i="13" s="1"/>
  <c r="Q93" i="8"/>
  <c r="R7" i="13" s="1"/>
  <c r="Q92" i="8"/>
  <c r="Q7" i="13" s="1"/>
  <c r="Q91" i="8"/>
  <c r="P7" i="13" s="1"/>
  <c r="Q35" i="8"/>
  <c r="D7" i="15" s="1"/>
  <c r="Q170" i="8"/>
  <c r="N7" i="19" s="1"/>
  <c r="Q169" i="8"/>
  <c r="K7" i="19" s="1"/>
  <c r="Q168" i="8"/>
  <c r="H8" i="19" s="1"/>
  <c r="Q167" i="8"/>
  <c r="H7" i="19" s="1"/>
  <c r="Q166" i="8"/>
  <c r="E8" i="19" s="1"/>
  <c r="Q165" i="8"/>
  <c r="E7" i="19" s="1"/>
  <c r="Q164" i="8"/>
  <c r="E7" i="17" s="1"/>
  <c r="Q163" i="8"/>
  <c r="D8" i="16" s="1"/>
  <c r="Q162" i="8"/>
  <c r="D7" i="16" s="1"/>
  <c r="Q161" i="8"/>
  <c r="N8" i="18" s="1"/>
  <c r="Q160" i="8"/>
  <c r="M8" i="18" s="1"/>
  <c r="Q159" i="8"/>
  <c r="L8" i="18" s="1"/>
  <c r="Q158" i="8"/>
  <c r="N7" i="18" s="1"/>
  <c r="Q157" i="8"/>
  <c r="M7" i="18" s="1"/>
  <c r="Q156" i="8"/>
  <c r="L7" i="18" s="1"/>
  <c r="Q155" i="8"/>
  <c r="H8" i="18" s="1"/>
  <c r="Q154" i="8"/>
  <c r="H7" i="18" s="1"/>
  <c r="Q153" i="8"/>
  <c r="E8" i="18" s="1"/>
  <c r="Q152" i="8"/>
  <c r="E7" i="18" s="1"/>
  <c r="Q151" i="8"/>
  <c r="C7" i="18" s="1"/>
  <c r="Q132" i="8"/>
  <c r="W7" i="14" s="1"/>
  <c r="Q130" i="8"/>
  <c r="T7" i="14" s="1"/>
  <c r="Q129" i="8"/>
  <c r="S7" i="14" s="1"/>
  <c r="Q128" i="8"/>
  <c r="R7" i="14" s="1"/>
  <c r="Q127" i="8"/>
  <c r="Q7" i="14" s="1"/>
  <c r="Q125" i="8"/>
  <c r="N7" i="14" s="1"/>
  <c r="Q124" i="8"/>
  <c r="M7" i="14" s="1"/>
  <c r="Q122" i="8"/>
  <c r="J7" i="14" s="1"/>
  <c r="Q121" i="8"/>
  <c r="I7" i="14" s="1"/>
  <c r="Q120" i="8"/>
  <c r="H7" i="14" s="1"/>
  <c r="Q119" i="8"/>
  <c r="G7" i="14" s="1"/>
  <c r="Q117" i="8"/>
  <c r="D7" i="14" s="1"/>
  <c r="Q115" i="8"/>
  <c r="AU7" i="13" s="1"/>
  <c r="Q90" i="8"/>
  <c r="M8" i="13" s="1"/>
  <c r="Q89" i="8"/>
  <c r="L8" i="13" s="1"/>
  <c r="Q88" i="8"/>
  <c r="K8" i="13" s="1"/>
  <c r="Q87" i="8"/>
  <c r="J8" i="13" s="1"/>
  <c r="Q86" i="8"/>
  <c r="M7" i="13" s="1"/>
  <c r="Q85" i="8"/>
  <c r="L7" i="13" s="1"/>
  <c r="Q84" i="8"/>
  <c r="K7" i="13" s="1"/>
  <c r="Q83" i="8"/>
  <c r="J7" i="13" s="1"/>
  <c r="Q82" i="8"/>
  <c r="G8" i="13" s="1"/>
  <c r="Q81" i="8"/>
  <c r="F8" i="13" s="1"/>
  <c r="Q80" i="8"/>
  <c r="E8" i="13" s="1"/>
  <c r="Q79" i="8"/>
  <c r="D8" i="13" s="1"/>
  <c r="Q78" i="8"/>
  <c r="G7" i="13" s="1"/>
  <c r="Q77" i="8"/>
  <c r="F7" i="13" s="1"/>
  <c r="Q76" i="8"/>
  <c r="E7" i="13" s="1"/>
  <c r="Q75" i="8"/>
  <c r="D7" i="13" s="1"/>
  <c r="Q74" i="8"/>
  <c r="AC8" i="15" s="1"/>
  <c r="Q73" i="8"/>
  <c r="AB8" i="15" s="1"/>
  <c r="Q72" i="8"/>
  <c r="AA8" i="15" s="1"/>
  <c r="Q71" i="8"/>
  <c r="Z8" i="15" s="1"/>
  <c r="Q70" i="8"/>
  <c r="Y8" i="15" s="1"/>
  <c r="Q69" i="8"/>
  <c r="AC7" i="15" s="1"/>
  <c r="Q68" i="8"/>
  <c r="AB7" i="15" s="1"/>
  <c r="Q67" i="8"/>
  <c r="AA7" i="15" s="1"/>
  <c r="Q66" i="8"/>
  <c r="Z7" i="15" s="1"/>
  <c r="Q65" i="8"/>
  <c r="Y7" i="15" s="1"/>
  <c r="Q64" i="8"/>
  <c r="V8" i="15" s="1"/>
  <c r="Q63" i="8"/>
  <c r="U8" i="15" s="1"/>
  <c r="Q62" i="8"/>
  <c r="T8" i="15" s="1"/>
  <c r="Q61" i="8"/>
  <c r="S8" i="15" s="1"/>
  <c r="Q60" i="8"/>
  <c r="R8" i="15" s="1"/>
  <c r="Q59" i="8"/>
  <c r="V7" i="15" s="1"/>
  <c r="Q58" i="8"/>
  <c r="U7" i="15" s="1"/>
  <c r="Q57" i="8"/>
  <c r="T7" i="15" s="1"/>
  <c r="Q56" i="8"/>
  <c r="S7" i="15" s="1"/>
  <c r="Q55" i="8"/>
  <c r="R7" i="15" s="1"/>
  <c r="Q54" i="8"/>
  <c r="O8" i="15" s="1"/>
  <c r="Q53" i="8"/>
  <c r="N8" i="15" s="1"/>
  <c r="Q52" i="8"/>
  <c r="M8" i="15" s="1"/>
  <c r="Q51" i="8"/>
  <c r="L8" i="15" s="1"/>
  <c r="Q50" i="8"/>
  <c r="K8" i="15" s="1"/>
  <c r="Q49" i="8"/>
  <c r="O7" i="15" s="1"/>
  <c r="Q48" i="8"/>
  <c r="N7" i="15" s="1"/>
  <c r="Q47" i="8"/>
  <c r="M7" i="15" s="1"/>
  <c r="Q46" i="8"/>
  <c r="L7" i="15" s="1"/>
  <c r="Q45" i="8"/>
  <c r="K7" i="15" s="1"/>
  <c r="Q44" i="8"/>
  <c r="H8" i="15" s="1"/>
  <c r="Q43" i="8"/>
  <c r="G8" i="15" s="1"/>
  <c r="Q42" i="8"/>
  <c r="F8" i="15" s="1"/>
  <c r="Q41" i="8"/>
  <c r="E8" i="15" s="1"/>
  <c r="Q40" i="8"/>
  <c r="D8" i="15" s="1"/>
  <c r="Q39" i="8"/>
  <c r="H7" i="15" s="1"/>
  <c r="Q38" i="8"/>
  <c r="G7" i="15" s="1"/>
  <c r="Q37" i="8"/>
  <c r="F7" i="15" s="1"/>
  <c r="Q36" i="8"/>
  <c r="E7" i="15" s="1"/>
  <c r="Q34" i="8"/>
  <c r="D8" i="12" s="1"/>
  <c r="Q33" i="8"/>
  <c r="D7" i="12" s="1"/>
  <c r="L10" i="3" l="1"/>
  <c r="H76" i="7"/>
  <c r="I76" i="7"/>
  <c r="J76" i="7"/>
  <c r="G77" i="7"/>
  <c r="H77" i="7" l="1"/>
  <c r="I77" i="7" s="1"/>
  <c r="J77" i="7" s="1"/>
  <c r="L49" i="3"/>
  <c r="L50" i="3"/>
  <c r="H44" i="7"/>
  <c r="I44" i="7"/>
  <c r="J44" i="7"/>
  <c r="H45" i="7"/>
  <c r="I45" i="7"/>
  <c r="J45" i="7"/>
  <c r="G45" i="7"/>
  <c r="G44" i="7"/>
  <c r="G37" i="7"/>
  <c r="H37" i="7"/>
  <c r="I37" i="7"/>
  <c r="J37" i="7"/>
  <c r="G38" i="7"/>
  <c r="H38" i="7"/>
  <c r="I38" i="7"/>
  <c r="J38" i="7"/>
  <c r="G39" i="7"/>
  <c r="H39" i="7"/>
  <c r="I39" i="7"/>
  <c r="J39" i="7"/>
  <c r="G40" i="7"/>
  <c r="H40" i="7"/>
  <c r="I40" i="7"/>
  <c r="J40" i="7"/>
  <c r="G41" i="7"/>
  <c r="H41" i="7"/>
  <c r="I41" i="7"/>
  <c r="J41" i="7"/>
  <c r="G42" i="7"/>
  <c r="H42" i="7"/>
  <c r="I42" i="7"/>
  <c r="J42" i="7"/>
  <c r="H36" i="7"/>
  <c r="I36" i="7"/>
  <c r="J36" i="7"/>
  <c r="G36" i="7"/>
  <c r="G34" i="7"/>
  <c r="G32" i="7"/>
  <c r="H32" i="7"/>
  <c r="I32" i="7"/>
  <c r="J32" i="7"/>
  <c r="G33" i="7"/>
  <c r="H33" i="7"/>
  <c r="I33" i="7"/>
  <c r="J33" i="7"/>
  <c r="H34" i="7"/>
  <c r="I34" i="7"/>
  <c r="J34" i="7"/>
  <c r="H31" i="7"/>
  <c r="I31" i="7"/>
  <c r="J31" i="7"/>
  <c r="G31" i="7"/>
  <c r="G29" i="7"/>
  <c r="G25" i="7"/>
  <c r="G19" i="7"/>
  <c r="H19" i="7"/>
  <c r="I19" i="7"/>
  <c r="J19" i="7"/>
  <c r="G21" i="7"/>
  <c r="H21" i="7"/>
  <c r="I21" i="7"/>
  <c r="J21" i="7"/>
  <c r="G22" i="7"/>
  <c r="H22" i="7"/>
  <c r="I22" i="7"/>
  <c r="J22" i="7"/>
  <c r="G23" i="7"/>
  <c r="H23" i="7"/>
  <c r="I23" i="7"/>
  <c r="J23" i="7"/>
  <c r="G24" i="7"/>
  <c r="H24" i="7"/>
  <c r="I24" i="7"/>
  <c r="J24" i="7"/>
  <c r="H25" i="7"/>
  <c r="I25" i="7"/>
  <c r="J25" i="7"/>
  <c r="G26" i="7"/>
  <c r="H26" i="7"/>
  <c r="I26" i="7"/>
  <c r="J26" i="7"/>
  <c r="G27" i="7"/>
  <c r="H27" i="7"/>
  <c r="I27" i="7"/>
  <c r="J27" i="7"/>
  <c r="G28" i="7"/>
  <c r="H28" i="7"/>
  <c r="I28" i="7"/>
  <c r="J28" i="7"/>
  <c r="I17" i="7"/>
  <c r="J17" i="7"/>
  <c r="F10" i="7"/>
  <c r="G6" i="6"/>
  <c r="G12" i="6" s="1"/>
  <c r="H6" i="6"/>
  <c r="H12" i="6" s="1"/>
  <c r="E12" i="6" l="1"/>
  <c r="G17" i="7" s="1"/>
  <c r="F59" i="7"/>
  <c r="I50" i="3" l="1"/>
  <c r="J50" i="3"/>
  <c r="K50" i="3"/>
  <c r="J49" i="3"/>
  <c r="K49" i="3"/>
  <c r="I3" i="3"/>
  <c r="E5" i="7" s="1"/>
  <c r="I52" i="3"/>
  <c r="K52" i="3"/>
  <c r="I74" i="7" l="1"/>
  <c r="I75" i="7" s="1"/>
  <c r="J74" i="7"/>
  <c r="H54" i="3"/>
  <c r="I53" i="3"/>
  <c r="J75" i="7" l="1"/>
  <c r="J55" i="3"/>
  <c r="K53" i="3" l="1"/>
  <c r="K56" i="3" s="1"/>
  <c r="K55" i="3"/>
  <c r="J56" i="3"/>
  <c r="J54" i="3" s="1"/>
  <c r="K54" i="3" l="1"/>
  <c r="L54" i="3" l="1"/>
  <c r="I42" i="3" l="1"/>
  <c r="J42" i="3"/>
  <c r="K42" i="3"/>
  <c r="H42" i="3"/>
  <c r="I40" i="3"/>
  <c r="J40" i="3"/>
  <c r="K40" i="3"/>
  <c r="H40" i="3"/>
  <c r="I38" i="3"/>
  <c r="J38" i="3"/>
  <c r="K38" i="3"/>
  <c r="H38" i="3"/>
  <c r="I30" i="3"/>
  <c r="J30" i="3"/>
  <c r="K30" i="3"/>
  <c r="H30" i="3"/>
  <c r="K45" i="3" l="1"/>
  <c r="K57" i="3" s="1"/>
  <c r="K24" i="3" s="1"/>
  <c r="J45" i="3"/>
  <c r="J57" i="3" s="1"/>
  <c r="J24" i="3" s="1"/>
  <c r="I45" i="3"/>
  <c r="I57" i="3" s="1"/>
  <c r="I24" i="3" s="1"/>
  <c r="H45" i="3"/>
  <c r="D10" i="4"/>
  <c r="D9" i="4"/>
  <c r="C8" i="4"/>
  <c r="E8" i="4"/>
  <c r="D8" i="4"/>
  <c r="G7" i="3"/>
  <c r="E9" i="4" l="1"/>
  <c r="I25" i="3"/>
  <c r="H29" i="7"/>
  <c r="J25" i="3"/>
  <c r="J44" i="3" s="1"/>
  <c r="I29" i="7"/>
  <c r="H7" i="3"/>
  <c r="F11" i="7"/>
  <c r="K25" i="3"/>
  <c r="K44" i="3" s="1"/>
  <c r="J29" i="7"/>
  <c r="H57" i="3"/>
  <c r="L45" i="3"/>
  <c r="G9" i="7" l="1"/>
  <c r="G10" i="7" s="1"/>
  <c r="E13" i="2"/>
  <c r="E14" i="2" s="1"/>
  <c r="E10" i="4"/>
  <c r="F8" i="4"/>
  <c r="F9" i="4" s="1"/>
  <c r="I7" i="3"/>
  <c r="G11" i="7"/>
  <c r="L57" i="3"/>
  <c r="H24" i="3"/>
  <c r="H25" i="3" s="1"/>
  <c r="H9" i="7" l="1"/>
  <c r="F13" i="2"/>
  <c r="C29" i="2"/>
  <c r="G29" i="2" s="1"/>
  <c r="C27" i="2"/>
  <c r="G27" i="2" s="1"/>
  <c r="D29" i="2"/>
  <c r="H29" i="2" s="1"/>
  <c r="D28" i="2"/>
  <c r="H28" i="2" s="1"/>
  <c r="D27" i="2"/>
  <c r="H27" i="2" s="1"/>
  <c r="C28" i="2"/>
  <c r="G28" i="2" s="1"/>
  <c r="H10" i="7"/>
  <c r="G15" i="7"/>
  <c r="J7" i="3"/>
  <c r="H11" i="7"/>
  <c r="D35" i="2" l="1"/>
  <c r="H35" i="2" s="1"/>
  <c r="C37" i="2"/>
  <c r="G37" i="2" s="1"/>
  <c r="C36" i="2"/>
  <c r="G36" i="2" s="1"/>
  <c r="D37" i="2"/>
  <c r="H37" i="2" s="1"/>
  <c r="D36" i="2"/>
  <c r="H36" i="2" s="1"/>
  <c r="G35" i="2"/>
  <c r="G53" i="7"/>
  <c r="G51" i="7" s="1"/>
  <c r="G47" i="7"/>
  <c r="G52" i="7" s="1"/>
  <c r="G56" i="7" s="1"/>
  <c r="H69" i="7" s="1"/>
  <c r="I10" i="7"/>
  <c r="H15" i="7"/>
  <c r="K7" i="3"/>
  <c r="I11" i="7"/>
  <c r="H47" i="7" l="1"/>
  <c r="H52" i="7" s="1"/>
  <c r="G58" i="7"/>
  <c r="G59" i="7" s="1"/>
  <c r="H50" i="7" s="1"/>
  <c r="H67" i="7" s="1"/>
  <c r="H71" i="7" s="1"/>
  <c r="H73" i="7" s="1"/>
  <c r="N31" i="8" s="1"/>
  <c r="R31" i="8" s="1"/>
  <c r="J10" i="7"/>
  <c r="J15" i="7" s="1"/>
  <c r="I15" i="7"/>
  <c r="J11" i="7"/>
  <c r="I53" i="7" l="1"/>
  <c r="I47" i="7"/>
  <c r="I52" i="7" s="1"/>
  <c r="N32" i="8"/>
  <c r="R32" i="8" s="1"/>
  <c r="I11" i="11" s="1"/>
  <c r="I12" i="11" s="1"/>
  <c r="J53" i="7"/>
  <c r="J47" i="7"/>
  <c r="J52" i="7" s="1"/>
  <c r="H68" i="7"/>
  <c r="F10" i="4"/>
  <c r="L20" i="4"/>
  <c r="L28" i="4"/>
  <c r="L21" i="4"/>
  <c r="L29" i="4"/>
  <c r="L26" i="4"/>
  <c r="L22" i="4"/>
  <c r="L23" i="4"/>
  <c r="L24" i="4"/>
  <c r="L25" i="4"/>
  <c r="L18" i="4"/>
  <c r="L19" i="4"/>
  <c r="L27" i="4"/>
  <c r="G8" i="4" l="1"/>
  <c r="L14" i="4" s="1"/>
  <c r="H70" i="7"/>
  <c r="N151" i="8" l="1"/>
  <c r="N159" i="8"/>
  <c r="N167" i="8"/>
  <c r="N135" i="8"/>
  <c r="N140" i="8"/>
  <c r="N148" i="8"/>
  <c r="N122" i="8"/>
  <c r="N130" i="8"/>
  <c r="N98" i="8"/>
  <c r="N109" i="8"/>
  <c r="N80" i="8"/>
  <c r="N88" i="8"/>
  <c r="N55" i="8"/>
  <c r="N63" i="8"/>
  <c r="N71" i="8"/>
  <c r="N36" i="8"/>
  <c r="N44" i="8"/>
  <c r="N52" i="8"/>
  <c r="N22" i="8"/>
  <c r="N47" i="8"/>
  <c r="N154" i="8"/>
  <c r="N162" i="8"/>
  <c r="N170" i="8"/>
  <c r="N134" i="8"/>
  <c r="N143" i="8"/>
  <c r="N117" i="8"/>
  <c r="N125" i="8"/>
  <c r="N93" i="8"/>
  <c r="N101" i="8"/>
  <c r="N112" i="8"/>
  <c r="N75" i="8"/>
  <c r="N83" i="8"/>
  <c r="N58" i="8"/>
  <c r="N66" i="8"/>
  <c r="N74" i="8"/>
  <c r="N39" i="8"/>
  <c r="N23" i="8"/>
  <c r="N157" i="8"/>
  <c r="N165" i="8"/>
  <c r="N138" i="8"/>
  <c r="N146" i="8"/>
  <c r="N120" i="8"/>
  <c r="N128" i="8"/>
  <c r="N96" i="8"/>
  <c r="N104" i="8"/>
  <c r="N107" i="8"/>
  <c r="N78" i="8"/>
  <c r="N86" i="8"/>
  <c r="N61" i="8"/>
  <c r="N69" i="8"/>
  <c r="N42" i="8"/>
  <c r="N50" i="8"/>
  <c r="N24" i="8"/>
  <c r="N37" i="8"/>
  <c r="N152" i="8"/>
  <c r="N160" i="8"/>
  <c r="N168" i="8"/>
  <c r="N141" i="8"/>
  <c r="N149" i="8"/>
  <c r="N115" i="8"/>
  <c r="N123" i="8"/>
  <c r="N131" i="8"/>
  <c r="N91" i="8"/>
  <c r="N99" i="8"/>
  <c r="N110" i="8"/>
  <c r="N81" i="8"/>
  <c r="N89" i="8"/>
  <c r="N56" i="8"/>
  <c r="N64" i="8"/>
  <c r="N72" i="8"/>
  <c r="N45" i="8"/>
  <c r="N53" i="8"/>
  <c r="N25" i="8"/>
  <c r="N155" i="8"/>
  <c r="N163" i="8"/>
  <c r="N133" i="8"/>
  <c r="N136" i="8"/>
  <c r="N144" i="8"/>
  <c r="N118" i="8"/>
  <c r="N126" i="8"/>
  <c r="N94" i="8"/>
  <c r="N102" i="8"/>
  <c r="N113" i="8"/>
  <c r="N76" i="8"/>
  <c r="N84" i="8"/>
  <c r="N59" i="8"/>
  <c r="N67" i="8"/>
  <c r="N54" i="8"/>
  <c r="N40" i="8"/>
  <c r="N48" i="8"/>
  <c r="N33" i="8"/>
  <c r="N158" i="8"/>
  <c r="N166" i="8"/>
  <c r="N139" i="8"/>
  <c r="N147" i="8"/>
  <c r="N121" i="8"/>
  <c r="N129" i="8"/>
  <c r="N97" i="8"/>
  <c r="N105" i="8"/>
  <c r="N108" i="8"/>
  <c r="N79" i="8"/>
  <c r="N87" i="8"/>
  <c r="N90" i="8"/>
  <c r="N62" i="8"/>
  <c r="N70" i="8"/>
  <c r="N35" i="8"/>
  <c r="N43" i="8"/>
  <c r="N51" i="8"/>
  <c r="N8" i="8"/>
  <c r="N153" i="8"/>
  <c r="N161" i="8"/>
  <c r="N169" i="8"/>
  <c r="N142" i="8"/>
  <c r="N150" i="8"/>
  <c r="N116" i="8"/>
  <c r="N124" i="8"/>
  <c r="N132" i="8"/>
  <c r="N92" i="8"/>
  <c r="N100" i="8"/>
  <c r="N111" i="8"/>
  <c r="N82" i="8"/>
  <c r="N57" i="8"/>
  <c r="N65" i="8"/>
  <c r="N73" i="8"/>
  <c r="N38" i="8"/>
  <c r="R38" i="8" s="1"/>
  <c r="N46" i="8"/>
  <c r="N15" i="8"/>
  <c r="N156" i="8"/>
  <c r="N164" i="8"/>
  <c r="N137" i="8"/>
  <c r="N145" i="8"/>
  <c r="N119" i="8"/>
  <c r="N127" i="8"/>
  <c r="N95" i="8"/>
  <c r="N103" i="8"/>
  <c r="N106" i="8"/>
  <c r="N114" i="8"/>
  <c r="N77" i="8"/>
  <c r="N85" i="8"/>
  <c r="N60" i="8"/>
  <c r="N68" i="8"/>
  <c r="N41" i="8"/>
  <c r="N49" i="8"/>
  <c r="N16" i="8"/>
  <c r="N30" i="8"/>
  <c r="N11" i="8"/>
  <c r="N34" i="8"/>
  <c r="N19" i="8"/>
  <c r="N27" i="8"/>
  <c r="N17" i="8"/>
  <c r="R17" i="8" s="1"/>
  <c r="N9" i="8"/>
  <c r="N28" i="8"/>
  <c r="N7" i="8"/>
  <c r="N29" i="8"/>
  <c r="N21" i="8"/>
  <c r="N14" i="8"/>
  <c r="N13" i="8"/>
  <c r="N26" i="8"/>
  <c r="N12" i="8"/>
  <c r="N18" i="8"/>
  <c r="N10" i="8"/>
  <c r="N20" i="8"/>
  <c r="L10" i="4"/>
  <c r="L9" i="4"/>
  <c r="L16" i="4"/>
  <c r="L15" i="4"/>
  <c r="L13" i="4"/>
  <c r="L11" i="4"/>
  <c r="L12" i="4"/>
  <c r="L7" i="4"/>
  <c r="L6" i="4"/>
  <c r="L17" i="4"/>
  <c r="L8" i="4"/>
  <c r="H8" i="4" l="1"/>
  <c r="G10" i="4"/>
  <c r="G13" i="2"/>
  <c r="G14" i="2" s="1"/>
  <c r="D44" i="2" l="1"/>
  <c r="H44" i="2" s="1"/>
  <c r="C43" i="2"/>
  <c r="G43" i="2" s="1"/>
  <c r="C45" i="2"/>
  <c r="G45" i="2" s="1"/>
  <c r="D45" i="2"/>
  <c r="H45" i="2" s="1"/>
  <c r="D43" i="2"/>
  <c r="H43" i="2" s="1"/>
  <c r="C44" i="2"/>
  <c r="G44" i="2" s="1"/>
  <c r="H10" i="4"/>
  <c r="H13" i="2"/>
  <c r="H14" i="2" s="1"/>
  <c r="H54" i="7" l="1"/>
  <c r="R128" i="8" l="1"/>
  <c r="R9" i="14" s="1"/>
  <c r="R141" i="8"/>
  <c r="AG9" i="14" s="1"/>
  <c r="R167" i="8"/>
  <c r="H10" i="19" s="1"/>
  <c r="R103" i="8"/>
  <c r="AF10" i="13" s="1"/>
  <c r="R116" i="8"/>
  <c r="C9" i="14" s="1"/>
  <c r="R137" i="8"/>
  <c r="AC9" i="14" s="1"/>
  <c r="R150" i="8"/>
  <c r="AQ9" i="14" s="1"/>
  <c r="R163" i="8"/>
  <c r="D11" i="16" s="1"/>
  <c r="R99" i="8"/>
  <c r="Z10" i="13" s="1"/>
  <c r="R40" i="8"/>
  <c r="D11" i="15" s="1"/>
  <c r="R88" i="8"/>
  <c r="K11" i="13" s="1"/>
  <c r="R28" i="8"/>
  <c r="C11" i="11" s="1"/>
  <c r="R74" i="8"/>
  <c r="AC11" i="15" s="1"/>
  <c r="R39" i="8"/>
  <c r="H10" i="15" s="1"/>
  <c r="R87" i="8"/>
  <c r="J11" i="13" s="1"/>
  <c r="R41" i="8"/>
  <c r="E11" i="15" s="1"/>
  <c r="R83" i="8"/>
  <c r="J10" i="13" s="1"/>
  <c r="R29" i="8"/>
  <c r="G11" i="11" s="1"/>
  <c r="R84" i="8"/>
  <c r="K10" i="13" s="1"/>
  <c r="R75" i="8"/>
  <c r="D10" i="13" s="1"/>
  <c r="R89" i="8"/>
  <c r="L11" i="13" s="1"/>
  <c r="R46" i="8"/>
  <c r="L10" i="15" s="1"/>
  <c r="R120" i="8"/>
  <c r="H9" i="14" s="1"/>
  <c r="R133" i="8"/>
  <c r="Y9" i="14" s="1"/>
  <c r="R159" i="8"/>
  <c r="L11" i="18" s="1"/>
  <c r="R95" i="8"/>
  <c r="V10" i="13" s="1"/>
  <c r="R108" i="8"/>
  <c r="AM10" i="13" s="1"/>
  <c r="R129" i="8"/>
  <c r="S9" i="14" s="1"/>
  <c r="R142" i="8"/>
  <c r="AI9" i="14" s="1"/>
  <c r="R155" i="8"/>
  <c r="H11" i="18" s="1"/>
  <c r="R91" i="8"/>
  <c r="P10" i="13" s="1"/>
  <c r="G13" i="11"/>
  <c r="R85" i="8"/>
  <c r="L10" i="13" s="1"/>
  <c r="R66" i="8"/>
  <c r="Z10" i="15" s="1"/>
  <c r="R30" i="8"/>
  <c r="G12" i="11" s="1"/>
  <c r="R33" i="8"/>
  <c r="D10" i="12" s="1"/>
  <c r="R112" i="8"/>
  <c r="AQ10" i="13" s="1"/>
  <c r="R125" i="8"/>
  <c r="N9" i="14" s="1"/>
  <c r="R151" i="8"/>
  <c r="C10" i="18" s="1"/>
  <c r="R164" i="8"/>
  <c r="E9" i="17" s="1"/>
  <c r="R100" i="8"/>
  <c r="AA10" i="13" s="1"/>
  <c r="R121" i="8"/>
  <c r="I9" i="14" s="1"/>
  <c r="R134" i="8"/>
  <c r="Z9" i="14" s="1"/>
  <c r="R147" i="8"/>
  <c r="AN9" i="14" s="1"/>
  <c r="R122" i="8"/>
  <c r="J9" i="14" s="1"/>
  <c r="R77" i="8"/>
  <c r="F10" i="13" s="1"/>
  <c r="R58" i="8"/>
  <c r="U10" i="15" s="1"/>
  <c r="R114" i="8"/>
  <c r="AS10" i="13" s="1"/>
  <c r="R76" i="8"/>
  <c r="E10" i="13" s="1"/>
  <c r="R130" i="8"/>
  <c r="T9" i="14" s="1"/>
  <c r="R67" i="8"/>
  <c r="AA10" i="15" s="1"/>
  <c r="R168" i="8"/>
  <c r="H11" i="19" s="1"/>
  <c r="R104" i="8"/>
  <c r="AG10" i="13" s="1"/>
  <c r="R117" i="8"/>
  <c r="D9" i="14" s="1"/>
  <c r="R143" i="8"/>
  <c r="AJ9" i="14" s="1"/>
  <c r="R156" i="8"/>
  <c r="L10" i="18" s="1"/>
  <c r="R92" i="8"/>
  <c r="Q10" i="13" s="1"/>
  <c r="R113" i="8"/>
  <c r="AR10" i="13" s="1"/>
  <c r="R126" i="8"/>
  <c r="P9" i="14" s="1"/>
  <c r="R139" i="8"/>
  <c r="AE9" i="14" s="1"/>
  <c r="R80" i="8"/>
  <c r="E11" i="13" s="1"/>
  <c r="R13" i="8"/>
  <c r="H11" i="9" s="1"/>
  <c r="R69" i="8"/>
  <c r="AC10" i="15" s="1"/>
  <c r="R8" i="8"/>
  <c r="D12" i="9" s="1"/>
  <c r="R50" i="8"/>
  <c r="K11" i="15" s="1"/>
  <c r="R79" i="8"/>
  <c r="D11" i="13" s="1"/>
  <c r="R68" i="8"/>
  <c r="AB10" i="15" s="1"/>
  <c r="R81" i="8"/>
  <c r="F11" i="13" s="1"/>
  <c r="R59" i="8"/>
  <c r="V10" i="15" s="1"/>
  <c r="R160" i="8"/>
  <c r="M11" i="18" s="1"/>
  <c r="R96" i="8"/>
  <c r="W10" i="13" s="1"/>
  <c r="R109" i="8"/>
  <c r="AN10" i="13" s="1"/>
  <c r="R135" i="8"/>
  <c r="AA9" i="14" s="1"/>
  <c r="R148" i="8"/>
  <c r="AO9" i="14" s="1"/>
  <c r="R169" i="8"/>
  <c r="K10" i="19" s="1"/>
  <c r="R105" i="8"/>
  <c r="AH10" i="13" s="1"/>
  <c r="R118" i="8"/>
  <c r="F9" i="14" s="1"/>
  <c r="R131" i="8"/>
  <c r="V9" i="14" s="1"/>
  <c r="R72" i="8"/>
  <c r="AA11" i="15" s="1"/>
  <c r="R61" i="8"/>
  <c r="S11" i="15" s="1"/>
  <c r="R78" i="8"/>
  <c r="G10" i="13" s="1"/>
  <c r="R42" i="8"/>
  <c r="F11" i="15" s="1"/>
  <c r="R71" i="8"/>
  <c r="Z11" i="15" s="1"/>
  <c r="R86" i="8"/>
  <c r="M10" i="13" s="1"/>
  <c r="R60" i="8"/>
  <c r="R11" i="15" s="1"/>
  <c r="R73" i="8"/>
  <c r="AB11" i="15" s="1"/>
  <c r="R54" i="8"/>
  <c r="O11" i="15" s="1"/>
  <c r="R51" i="8"/>
  <c r="L11" i="15" s="1"/>
  <c r="G10" i="15"/>
  <c r="R152" i="8"/>
  <c r="E10" i="18" s="1"/>
  <c r="R165" i="8"/>
  <c r="E10" i="19" s="1"/>
  <c r="R101" i="8"/>
  <c r="AB10" i="13" s="1"/>
  <c r="R127" i="8"/>
  <c r="Q9" i="14" s="1"/>
  <c r="R140" i="8"/>
  <c r="AF9" i="14" s="1"/>
  <c r="R161" i="8"/>
  <c r="N11" i="18" s="1"/>
  <c r="R97" i="8"/>
  <c r="X10" i="13" s="1"/>
  <c r="R110" i="8"/>
  <c r="AO10" i="13" s="1"/>
  <c r="R123" i="8"/>
  <c r="L9" i="14" s="1"/>
  <c r="R64" i="8"/>
  <c r="V11" i="15" s="1"/>
  <c r="R106" i="8"/>
  <c r="AI10" i="13" s="1"/>
  <c r="R53" i="8"/>
  <c r="N11" i="15" s="1"/>
  <c r="R70" i="8"/>
  <c r="Y11" i="15" s="1"/>
  <c r="R34" i="8"/>
  <c r="D11" i="12" s="1"/>
  <c r="R63" i="8"/>
  <c r="U11" i="15" s="1"/>
  <c r="R62" i="8"/>
  <c r="T11" i="15" s="1"/>
  <c r="R52" i="8"/>
  <c r="M11" i="15" s="1"/>
  <c r="R65" i="8"/>
  <c r="Y10" i="15" s="1"/>
  <c r="R43" i="8"/>
  <c r="G11" i="15" s="1"/>
  <c r="R144" i="8"/>
  <c r="AK9" i="14" s="1"/>
  <c r="R157" i="8"/>
  <c r="M10" i="18" s="1"/>
  <c r="R93" i="8"/>
  <c r="R10" i="13" s="1"/>
  <c r="R119" i="8"/>
  <c r="G9" i="14" s="1"/>
  <c r="R132" i="8"/>
  <c r="W9" i="14" s="1"/>
  <c r="R153" i="8"/>
  <c r="E11" i="18" s="1"/>
  <c r="R166" i="8"/>
  <c r="E11" i="19" s="1"/>
  <c r="R102" i="8"/>
  <c r="AC10" i="13" s="1"/>
  <c r="R115" i="8"/>
  <c r="AU10" i="13" s="1"/>
  <c r="R56" i="8"/>
  <c r="S10" i="15" s="1"/>
  <c r="R162" i="8"/>
  <c r="D10" i="16" s="1"/>
  <c r="R45" i="8"/>
  <c r="K10" i="15" s="1"/>
  <c r="R138" i="8"/>
  <c r="AD9" i="14" s="1"/>
  <c r="R55" i="8"/>
  <c r="R10" i="15" s="1"/>
  <c r="R154" i="8"/>
  <c r="H10" i="18" s="1"/>
  <c r="R44" i="8"/>
  <c r="H11" i="15" s="1"/>
  <c r="R57" i="8"/>
  <c r="T10" i="15" s="1"/>
  <c r="R19" i="8"/>
  <c r="L11" i="9" s="1"/>
  <c r="R35" i="8"/>
  <c r="D10" i="15" s="1"/>
  <c r="R136" i="8"/>
  <c r="AB9" i="14" s="1"/>
  <c r="R149" i="8"/>
  <c r="AP9" i="14" s="1"/>
  <c r="R170" i="8"/>
  <c r="N10" i="19" s="1"/>
  <c r="R111" i="8"/>
  <c r="AP10" i="13" s="1"/>
  <c r="R124" i="8"/>
  <c r="M9" i="14" s="1"/>
  <c r="R145" i="8"/>
  <c r="AL9" i="14" s="1"/>
  <c r="R158" i="8"/>
  <c r="N10" i="18" s="1"/>
  <c r="R94" i="8"/>
  <c r="S10" i="13" s="1"/>
  <c r="R107" i="8"/>
  <c r="AL10" i="13" s="1"/>
  <c r="R48" i="8"/>
  <c r="N10" i="15" s="1"/>
  <c r="R98" i="8"/>
  <c r="Y10" i="13" s="1"/>
  <c r="R37" i="8"/>
  <c r="F10" i="15" s="1"/>
  <c r="R82" i="8"/>
  <c r="G11" i="13" s="1"/>
  <c r="R47" i="8"/>
  <c r="M10" i="15" s="1"/>
  <c r="R90" i="8"/>
  <c r="M11" i="13" s="1"/>
  <c r="R36" i="8"/>
  <c r="E10" i="15" s="1"/>
  <c r="R49" i="8"/>
  <c r="O10" i="15" s="1"/>
  <c r="R146" i="8"/>
  <c r="AM9" i="14" s="1"/>
  <c r="H56" i="7" l="1"/>
  <c r="R23" i="8"/>
  <c r="O12" i="9" s="1"/>
  <c r="R11" i="8"/>
  <c r="E12" i="9" s="1"/>
  <c r="R16" i="8"/>
  <c r="K11" i="9" s="1"/>
  <c r="R20" i="8"/>
  <c r="L12" i="9" s="1"/>
  <c r="R18" i="8"/>
  <c r="K13" i="9" s="1"/>
  <c r="K12" i="9"/>
  <c r="R12" i="8"/>
  <c r="E13" i="9" s="1"/>
  <c r="R7" i="8"/>
  <c r="D11" i="9" s="1"/>
  <c r="R27" i="8"/>
  <c r="R21" i="8"/>
  <c r="L13" i="9" s="1"/>
  <c r="R9" i="8"/>
  <c r="D13" i="9" s="1"/>
  <c r="R14" i="8"/>
  <c r="H12" i="9" s="1"/>
  <c r="R26" i="8"/>
  <c r="P12" i="9" s="1"/>
  <c r="R24" i="8"/>
  <c r="R10" i="8"/>
  <c r="E11" i="9" s="1"/>
  <c r="R15" i="8"/>
  <c r="H13" i="9" s="1"/>
  <c r="I69" i="7" l="1"/>
  <c r="H58" i="7"/>
  <c r="O13" i="9"/>
  <c r="P13" i="9"/>
  <c r="H59" i="7" l="1"/>
  <c r="I50" i="7" s="1"/>
  <c r="I63" i="7" l="1"/>
  <c r="I65" i="7" s="1"/>
  <c r="I68" i="7" l="1"/>
  <c r="I67" i="7"/>
  <c r="I71" i="7" s="1"/>
  <c r="I73" i="7" s="1"/>
  <c r="O32" i="8" s="1"/>
  <c r="S32" i="8" s="1"/>
  <c r="I19" i="11" s="1"/>
  <c r="I20" i="11" s="1"/>
  <c r="O13" i="8" l="1"/>
  <c r="S13" i="8" s="1"/>
  <c r="H15" i="9" s="1"/>
  <c r="O65" i="8"/>
  <c r="S65" i="8" s="1"/>
  <c r="Y13" i="15" s="1"/>
  <c r="O35" i="8"/>
  <c r="S35" i="8" s="1"/>
  <c r="D13" i="15" s="1"/>
  <c r="O97" i="8"/>
  <c r="S97" i="8" s="1"/>
  <c r="X13" i="13" s="1"/>
  <c r="O28" i="8"/>
  <c r="S28" i="8" s="1"/>
  <c r="C15" i="11" s="1"/>
  <c r="O16" i="8"/>
  <c r="S16" i="8" s="1"/>
  <c r="K15" i="9" s="1"/>
  <c r="O57" i="8"/>
  <c r="S57" i="8" s="1"/>
  <c r="T13" i="15" s="1"/>
  <c r="O26" i="8"/>
  <c r="S26" i="8" s="1"/>
  <c r="P16" i="9" s="1"/>
  <c r="O10" i="8"/>
  <c r="O111" i="8"/>
  <c r="S111" i="8" s="1"/>
  <c r="AP13" i="13" s="1"/>
  <c r="O121" i="8"/>
  <c r="S121" i="8" s="1"/>
  <c r="I11" i="14" s="1"/>
  <c r="O43" i="8"/>
  <c r="S43" i="8" s="1"/>
  <c r="G14" i="15" s="1"/>
  <c r="O21" i="8"/>
  <c r="O116" i="8"/>
  <c r="S116" i="8" s="1"/>
  <c r="C11" i="14" s="1"/>
  <c r="O67" i="8"/>
  <c r="S67" i="8" s="1"/>
  <c r="AA13" i="15" s="1"/>
  <c r="O18" i="8"/>
  <c r="S18" i="8" s="1"/>
  <c r="K17" i="9" s="1"/>
  <c r="O9" i="8"/>
  <c r="S9" i="8" s="1"/>
  <c r="D17" i="9" s="1"/>
  <c r="O84" i="8"/>
  <c r="S84" i="8" s="1"/>
  <c r="K13" i="13" s="1"/>
  <c r="O73" i="8"/>
  <c r="S73" i="8" s="1"/>
  <c r="AB14" i="15" s="1"/>
  <c r="O14" i="8"/>
  <c r="O27" i="8"/>
  <c r="S27" i="8" s="1"/>
  <c r="P17" i="9" s="1"/>
  <c r="O20" i="8"/>
  <c r="S20" i="8" s="1"/>
  <c r="L16" i="9" s="1"/>
  <c r="O150" i="8"/>
  <c r="S150" i="8" s="1"/>
  <c r="AQ11" i="14" s="1"/>
  <c r="O29" i="8"/>
  <c r="S29" i="8" s="1"/>
  <c r="G15" i="11" s="1"/>
  <c r="O33" i="8"/>
  <c r="S33" i="8" s="1"/>
  <c r="D13" i="12" s="1"/>
  <c r="O142" i="8"/>
  <c r="S142" i="8" s="1"/>
  <c r="AI11" i="14" s="1"/>
  <c r="O8" i="8"/>
  <c r="S8" i="8" s="1"/>
  <c r="D16" i="9" s="1"/>
  <c r="O24" i="8"/>
  <c r="S24" i="8" s="1"/>
  <c r="O51" i="8"/>
  <c r="S51" i="8" s="1"/>
  <c r="L14" i="15" s="1"/>
  <c r="O163" i="8"/>
  <c r="S163" i="8" s="1"/>
  <c r="D14" i="16" s="1"/>
  <c r="O62" i="8"/>
  <c r="S62" i="8" s="1"/>
  <c r="T14" i="15" s="1"/>
  <c r="O53" i="8"/>
  <c r="S53" i="8" s="1"/>
  <c r="N14" i="15" s="1"/>
  <c r="O91" i="8"/>
  <c r="S91" i="8" s="1"/>
  <c r="P13" i="13" s="1"/>
  <c r="O129" i="8"/>
  <c r="S129" i="8" s="1"/>
  <c r="S11" i="14" s="1"/>
  <c r="O96" i="8"/>
  <c r="S96" i="8" s="1"/>
  <c r="W13" i="13" s="1"/>
  <c r="O169" i="8"/>
  <c r="S169" i="8" s="1"/>
  <c r="K13" i="19" s="1"/>
  <c r="O166" i="8"/>
  <c r="S166" i="8" s="1"/>
  <c r="E14" i="19" s="1"/>
  <c r="O59" i="8"/>
  <c r="S59" i="8" s="1"/>
  <c r="V13" i="15" s="1"/>
  <c r="O155" i="8"/>
  <c r="S155" i="8" s="1"/>
  <c r="H14" i="18" s="1"/>
  <c r="O149" i="8"/>
  <c r="S149" i="8" s="1"/>
  <c r="AP11" i="14" s="1"/>
  <c r="O66" i="8"/>
  <c r="S66" i="8" s="1"/>
  <c r="Z13" i="15" s="1"/>
  <c r="O83" i="8"/>
  <c r="S83" i="8" s="1"/>
  <c r="J13" i="13" s="1"/>
  <c r="O168" i="8"/>
  <c r="S168" i="8" s="1"/>
  <c r="H14" i="19" s="1"/>
  <c r="O11" i="8"/>
  <c r="O31" i="8"/>
  <c r="S31" i="8" s="1"/>
  <c r="G17" i="11" s="1"/>
  <c r="O23" i="8"/>
  <c r="S23" i="8" s="1"/>
  <c r="O16" i="9" s="1"/>
  <c r="O82" i="8"/>
  <c r="S82" i="8" s="1"/>
  <c r="G14" i="13" s="1"/>
  <c r="O135" i="8"/>
  <c r="S135" i="8" s="1"/>
  <c r="AA11" i="14" s="1"/>
  <c r="O70" i="8"/>
  <c r="S70" i="8" s="1"/>
  <c r="Y14" i="15" s="1"/>
  <c r="O147" i="8"/>
  <c r="S147" i="8" s="1"/>
  <c r="AN11" i="14" s="1"/>
  <c r="O113" i="8"/>
  <c r="S113" i="8" s="1"/>
  <c r="AR13" i="13" s="1"/>
  <c r="O45" i="8"/>
  <c r="S45" i="8" s="1"/>
  <c r="K13" i="15" s="1"/>
  <c r="O152" i="8"/>
  <c r="S152" i="8" s="1"/>
  <c r="E13" i="18" s="1"/>
  <c r="O117" i="8"/>
  <c r="S117" i="8" s="1"/>
  <c r="D11" i="14" s="1"/>
  <c r="O102" i="8"/>
  <c r="S102" i="8" s="1"/>
  <c r="AC13" i="13" s="1"/>
  <c r="O64" i="8"/>
  <c r="S64" i="8" s="1"/>
  <c r="V14" i="15" s="1"/>
  <c r="O50" i="8"/>
  <c r="S50" i="8" s="1"/>
  <c r="K14" i="15" s="1"/>
  <c r="O52" i="8"/>
  <c r="S52" i="8" s="1"/>
  <c r="M14" i="15" s="1"/>
  <c r="O161" i="8"/>
  <c r="S161" i="8" s="1"/>
  <c r="N14" i="18" s="1"/>
  <c r="O87" i="8"/>
  <c r="S87" i="8" s="1"/>
  <c r="J14" i="13" s="1"/>
  <c r="O158" i="8"/>
  <c r="S158" i="8" s="1"/>
  <c r="N13" i="18" s="1"/>
  <c r="O94" i="8"/>
  <c r="S94" i="8" s="1"/>
  <c r="S13" i="13" s="1"/>
  <c r="O89" i="8"/>
  <c r="S89" i="8" s="1"/>
  <c r="L14" i="13" s="1"/>
  <c r="O42" i="8"/>
  <c r="S42" i="8" s="1"/>
  <c r="F14" i="15" s="1"/>
  <c r="O63" i="8"/>
  <c r="S63" i="8" s="1"/>
  <c r="U14" i="15" s="1"/>
  <c r="O100" i="8"/>
  <c r="S100" i="8" s="1"/>
  <c r="AA13" i="13" s="1"/>
  <c r="O7" i="8"/>
  <c r="S7" i="8" s="1"/>
  <c r="D15" i="9" s="1"/>
  <c r="O12" i="8"/>
  <c r="S12" i="8" s="1"/>
  <c r="E17" i="9" s="1"/>
  <c r="O17" i="8"/>
  <c r="S17" i="8" s="1"/>
  <c r="K16" i="9" s="1"/>
  <c r="O92" i="8"/>
  <c r="S92" i="8" s="1"/>
  <c r="Q13" i="13" s="1"/>
  <c r="O46" i="8"/>
  <c r="S46" i="8" s="1"/>
  <c r="L13" i="15" s="1"/>
  <c r="O79" i="8"/>
  <c r="S79" i="8" s="1"/>
  <c r="D14" i="13" s="1"/>
  <c r="O48" i="8"/>
  <c r="S48" i="8" s="1"/>
  <c r="N13" i="15" s="1"/>
  <c r="O126" i="8"/>
  <c r="S126" i="8" s="1"/>
  <c r="P11" i="14" s="1"/>
  <c r="O81" i="8"/>
  <c r="S81" i="8" s="1"/>
  <c r="F14" i="13" s="1"/>
  <c r="O104" i="8"/>
  <c r="S104" i="8" s="1"/>
  <c r="AG13" i="13" s="1"/>
  <c r="O19" i="8"/>
  <c r="S19" i="8" s="1"/>
  <c r="L15" i="9" s="1"/>
  <c r="O30" i="8"/>
  <c r="S30" i="8" s="1"/>
  <c r="G16" i="11" s="1"/>
  <c r="O34" i="8"/>
  <c r="S34" i="8" s="1"/>
  <c r="D14" i="12" s="1"/>
  <c r="O124" i="8"/>
  <c r="S124" i="8" s="1"/>
  <c r="M11" i="14" s="1"/>
  <c r="O54" i="8"/>
  <c r="S54" i="8" s="1"/>
  <c r="O14" i="15" s="1"/>
  <c r="O108" i="8"/>
  <c r="S108" i="8" s="1"/>
  <c r="AM13" i="13" s="1"/>
  <c r="O40" i="8"/>
  <c r="S40" i="8" s="1"/>
  <c r="D14" i="15" s="1"/>
  <c r="O136" i="8"/>
  <c r="S136" i="8" s="1"/>
  <c r="AB11" i="14" s="1"/>
  <c r="O110" i="8"/>
  <c r="S110" i="8" s="1"/>
  <c r="AO13" i="13" s="1"/>
  <c r="O120" i="8"/>
  <c r="S120" i="8" s="1"/>
  <c r="H11" i="14" s="1"/>
  <c r="O138" i="8"/>
  <c r="S138" i="8" s="1"/>
  <c r="AD11" i="14" s="1"/>
  <c r="O112" i="8"/>
  <c r="S112" i="8" s="1"/>
  <c r="AQ13" i="13" s="1"/>
  <c r="O114" i="8"/>
  <c r="S114" i="8" s="1"/>
  <c r="AS13" i="13" s="1"/>
  <c r="O165" i="8"/>
  <c r="S165" i="8" s="1"/>
  <c r="E13" i="19" s="1"/>
  <c r="O93" i="8"/>
  <c r="S93" i="8" s="1"/>
  <c r="R13" i="13" s="1"/>
  <c r="O148" i="8"/>
  <c r="S148" i="8" s="1"/>
  <c r="AO11" i="14" s="1"/>
  <c r="O140" i="8"/>
  <c r="S140" i="8" s="1"/>
  <c r="AF11" i="14" s="1"/>
  <c r="O118" i="8"/>
  <c r="S118" i="8" s="1"/>
  <c r="F11" i="14" s="1"/>
  <c r="O37" i="8"/>
  <c r="S37" i="8" s="1"/>
  <c r="F13" i="15" s="1"/>
  <c r="O131" i="8"/>
  <c r="S131" i="8" s="1"/>
  <c r="V11" i="14" s="1"/>
  <c r="O86" i="8"/>
  <c r="S86" i="8" s="1"/>
  <c r="M13" i="13" s="1"/>
  <c r="O47" i="8"/>
  <c r="S47" i="8" s="1"/>
  <c r="M13" i="15" s="1"/>
  <c r="O143" i="8"/>
  <c r="S143" i="8" s="1"/>
  <c r="AJ11" i="14" s="1"/>
  <c r="O77" i="8"/>
  <c r="S77" i="8" s="1"/>
  <c r="F13" i="13" s="1"/>
  <c r="O144" i="8"/>
  <c r="S144" i="8" s="1"/>
  <c r="AK11" i="14" s="1"/>
  <c r="O72" i="8"/>
  <c r="S72" i="8" s="1"/>
  <c r="AA14" i="15" s="1"/>
  <c r="O123" i="8"/>
  <c r="S123" i="8" s="1"/>
  <c r="L11" i="14" s="1"/>
  <c r="O78" i="8"/>
  <c r="S78" i="8" s="1"/>
  <c r="G13" i="13" s="1"/>
  <c r="O39" i="8"/>
  <c r="S39" i="8" s="1"/>
  <c r="H13" i="15" s="1"/>
  <c r="O134" i="8"/>
  <c r="S134" i="8" s="1"/>
  <c r="Z11" i="14" s="1"/>
  <c r="O106" i="8"/>
  <c r="S106" i="8" s="1"/>
  <c r="AI13" i="13" s="1"/>
  <c r="O15" i="8"/>
  <c r="S15" i="8" s="1"/>
  <c r="H17" i="9" s="1"/>
  <c r="O38" i="8"/>
  <c r="S38" i="8" s="1"/>
  <c r="G13" i="15" s="1"/>
  <c r="O132" i="8"/>
  <c r="S132" i="8" s="1"/>
  <c r="W11" i="14" s="1"/>
  <c r="O153" i="8"/>
  <c r="S153" i="8" s="1"/>
  <c r="E14" i="18" s="1"/>
  <c r="O90" i="8"/>
  <c r="S90" i="8" s="1"/>
  <c r="M14" i="13" s="1"/>
  <c r="O139" i="8"/>
  <c r="S139" i="8" s="1"/>
  <c r="AE11" i="14" s="1"/>
  <c r="O76" i="8"/>
  <c r="S76" i="8" s="1"/>
  <c r="E13" i="13" s="1"/>
  <c r="O105" i="8"/>
  <c r="S105" i="8" s="1"/>
  <c r="AH13" i="13" s="1"/>
  <c r="O56" i="8"/>
  <c r="S56" i="8" s="1"/>
  <c r="S13" i="15" s="1"/>
  <c r="O141" i="8"/>
  <c r="S141" i="8" s="1"/>
  <c r="AG11" i="14" s="1"/>
  <c r="O128" i="8"/>
  <c r="S128" i="8" s="1"/>
  <c r="R11" i="14" s="1"/>
  <c r="O58" i="8"/>
  <c r="S58" i="8" s="1"/>
  <c r="U13" i="15" s="1"/>
  <c r="O36" i="8"/>
  <c r="S36" i="8" s="1"/>
  <c r="E13" i="15" s="1"/>
  <c r="O60" i="8"/>
  <c r="S60" i="8" s="1"/>
  <c r="R14" i="15" s="1"/>
  <c r="O61" i="8"/>
  <c r="S61" i="8" s="1"/>
  <c r="S14" i="15" s="1"/>
  <c r="O157" i="8"/>
  <c r="S157" i="8" s="1"/>
  <c r="M13" i="18" s="1"/>
  <c r="O101" i="8"/>
  <c r="S101" i="8" s="1"/>
  <c r="AB13" i="13" s="1"/>
  <c r="O88" i="8"/>
  <c r="S88" i="8" s="1"/>
  <c r="K14" i="13" s="1"/>
  <c r="O167" i="8"/>
  <c r="S167" i="8" s="1"/>
  <c r="H13" i="19" s="1"/>
  <c r="O103" i="8"/>
  <c r="S103" i="8" s="1"/>
  <c r="AF13" i="13" s="1"/>
  <c r="O99" i="8"/>
  <c r="S99" i="8" s="1"/>
  <c r="Z13" i="13" s="1"/>
  <c r="O160" i="8"/>
  <c r="S160" i="8" s="1"/>
  <c r="M14" i="18" s="1"/>
  <c r="O107" i="8"/>
  <c r="S107" i="8" s="1"/>
  <c r="AL13" i="13" s="1"/>
  <c r="O25" i="8"/>
  <c r="O75" i="8"/>
  <c r="S75" i="8" s="1"/>
  <c r="D13" i="13" s="1"/>
  <c r="O170" i="8"/>
  <c r="S170" i="8" s="1"/>
  <c r="N13" i="19" s="1"/>
  <c r="O80" i="8"/>
  <c r="S80" i="8" s="1"/>
  <c r="E14" i="13" s="1"/>
  <c r="O159" i="8"/>
  <c r="S159" i="8" s="1"/>
  <c r="L14" i="18" s="1"/>
  <c r="O127" i="8"/>
  <c r="S127" i="8" s="1"/>
  <c r="Q11" i="14" s="1"/>
  <c r="O154" i="8"/>
  <c r="S154" i="8" s="1"/>
  <c r="H13" i="18" s="1"/>
  <c r="O109" i="8"/>
  <c r="S109" i="8" s="1"/>
  <c r="AN13" i="13" s="1"/>
  <c r="O151" i="8"/>
  <c r="S151" i="8" s="1"/>
  <c r="C13" i="18" s="1"/>
  <c r="O145" i="8"/>
  <c r="S145" i="8" s="1"/>
  <c r="AL11" i="14" s="1"/>
  <c r="O22" i="8"/>
  <c r="O98" i="8"/>
  <c r="S98" i="8" s="1"/>
  <c r="Y13" i="13" s="1"/>
  <c r="O41" i="8"/>
  <c r="S41" i="8" s="1"/>
  <c r="E14" i="15" s="1"/>
  <c r="O164" i="8"/>
  <c r="S164" i="8" s="1"/>
  <c r="E11" i="17" s="1"/>
  <c r="O115" i="8"/>
  <c r="S115" i="8" s="1"/>
  <c r="AU13" i="13" s="1"/>
  <c r="O69" i="8"/>
  <c r="S69" i="8" s="1"/>
  <c r="AC13" i="15" s="1"/>
  <c r="O146" i="8"/>
  <c r="S146" i="8" s="1"/>
  <c r="AM11" i="14" s="1"/>
  <c r="O74" i="8"/>
  <c r="S74" i="8" s="1"/>
  <c r="AC14" i="15" s="1"/>
  <c r="O125" i="8"/>
  <c r="S125" i="8" s="1"/>
  <c r="N11" i="14" s="1"/>
  <c r="O44" i="8"/>
  <c r="S44" i="8" s="1"/>
  <c r="H14" i="15" s="1"/>
  <c r="O122" i="8"/>
  <c r="S122" i="8" s="1"/>
  <c r="J11" i="14" s="1"/>
  <c r="O85" i="8"/>
  <c r="S85" i="8" s="1"/>
  <c r="L13" i="13" s="1"/>
  <c r="O137" i="8"/>
  <c r="S137" i="8" s="1"/>
  <c r="AC11" i="14" s="1"/>
  <c r="O156" i="8"/>
  <c r="S156" i="8" s="1"/>
  <c r="L13" i="18" s="1"/>
  <c r="O71" i="8"/>
  <c r="S71" i="8" s="1"/>
  <c r="Z14" i="15" s="1"/>
  <c r="O130" i="8"/>
  <c r="S130" i="8" s="1"/>
  <c r="T11" i="14" s="1"/>
  <c r="O49" i="8"/>
  <c r="S49" i="8" s="1"/>
  <c r="O13" i="15" s="1"/>
  <c r="O95" i="8"/>
  <c r="S95" i="8" s="1"/>
  <c r="V13" i="13" s="1"/>
  <c r="I72" i="7"/>
  <c r="O162" i="8"/>
  <c r="S162" i="8" s="1"/>
  <c r="D13" i="16" s="1"/>
  <c r="O55" i="8"/>
  <c r="S55" i="8" s="1"/>
  <c r="R13" i="15" s="1"/>
  <c r="O133" i="8"/>
  <c r="S133" i="8" s="1"/>
  <c r="Y11" i="14" s="1"/>
  <c r="O68" i="8"/>
  <c r="S68" i="8" s="1"/>
  <c r="AB13" i="15" s="1"/>
  <c r="O119" i="8"/>
  <c r="S119" i="8" s="1"/>
  <c r="G11" i="14" s="1"/>
  <c r="I15" i="11"/>
  <c r="I16" i="11" s="1"/>
  <c r="I70" i="7"/>
  <c r="S11" i="8"/>
  <c r="E16" i="9" s="1"/>
  <c r="S21" i="8"/>
  <c r="L17" i="9" s="1"/>
  <c r="S10" i="8"/>
  <c r="E15" i="9" s="1"/>
  <c r="O17" i="9"/>
  <c r="S14" i="8"/>
  <c r="H16" i="9" s="1"/>
  <c r="J62" i="7" l="1"/>
  <c r="I55" i="7"/>
  <c r="I51" i="7" s="1"/>
  <c r="I54" i="7"/>
  <c r="I56" i="7" l="1"/>
  <c r="J69" i="7" s="1"/>
  <c r="I58" i="7" l="1"/>
  <c r="I59" i="7" s="1"/>
  <c r="J50" i="7" s="1"/>
  <c r="J63" i="7" s="1"/>
  <c r="J65" i="7" l="1"/>
  <c r="J68" i="7" s="1"/>
  <c r="J67" i="7" l="1"/>
  <c r="J71" i="7" s="1"/>
  <c r="J72" i="7" s="1"/>
  <c r="J54" i="7" s="1"/>
  <c r="J73" i="7" l="1"/>
  <c r="J70" i="7"/>
  <c r="J55" i="7"/>
  <c r="J51" i="7" s="1"/>
  <c r="P169" i="8"/>
  <c r="T169" i="8" s="1"/>
  <c r="K16" i="19" s="1"/>
  <c r="P96" i="8"/>
  <c r="T96" i="8" s="1"/>
  <c r="W16" i="13" s="1"/>
  <c r="P56" i="8"/>
  <c r="T56" i="8" s="1"/>
  <c r="S16" i="15" s="1"/>
  <c r="P121" i="8"/>
  <c r="T121" i="8" s="1"/>
  <c r="I13" i="14" s="1"/>
  <c r="P17" i="8"/>
  <c r="T17" i="8" s="1"/>
  <c r="K20" i="9" s="1"/>
  <c r="P138" i="8"/>
  <c r="T138" i="8" s="1"/>
  <c r="AD13" i="14" s="1"/>
  <c r="P93" i="8"/>
  <c r="T93" i="8" s="1"/>
  <c r="R16" i="13" s="1"/>
  <c r="P148" i="8"/>
  <c r="T148" i="8" s="1"/>
  <c r="AO13" i="14" s="1"/>
  <c r="P75" i="8"/>
  <c r="T75" i="8" s="1"/>
  <c r="D16" i="13" s="1"/>
  <c r="P64" i="8"/>
  <c r="T64" i="8" s="1"/>
  <c r="V17" i="15" s="1"/>
  <c r="P97" i="8"/>
  <c r="T97" i="8" s="1"/>
  <c r="X16" i="13" s="1"/>
  <c r="P21" i="8"/>
  <c r="T21" i="8" s="1"/>
  <c r="L21" i="9" s="1"/>
  <c r="P37" i="8"/>
  <c r="T37" i="8" s="1"/>
  <c r="F16" i="15" s="1"/>
  <c r="P166" i="8"/>
  <c r="T166" i="8" s="1"/>
  <c r="E17" i="19" s="1"/>
  <c r="P163" i="8"/>
  <c r="T163" i="8" s="1"/>
  <c r="D17" i="16" s="1"/>
  <c r="P9" i="8"/>
  <c r="T9" i="8" s="1"/>
  <c r="D21" i="9" s="1"/>
  <c r="P47" i="8"/>
  <c r="T47" i="8" s="1"/>
  <c r="M16" i="15" s="1"/>
  <c r="P78" i="8"/>
  <c r="T78" i="8" s="1"/>
  <c r="G16" i="13" s="1"/>
  <c r="P118" i="8"/>
  <c r="T118" i="8" s="1"/>
  <c r="F13" i="14" s="1"/>
  <c r="P54" i="8"/>
  <c r="T54" i="8" s="1"/>
  <c r="O17" i="15" s="1"/>
  <c r="P48" i="8"/>
  <c r="T48" i="8" s="1"/>
  <c r="N16" i="15" s="1"/>
  <c r="P16" i="8"/>
  <c r="T16" i="8" s="1"/>
  <c r="K19" i="9" s="1"/>
  <c r="P92" i="8"/>
  <c r="T92" i="8" s="1"/>
  <c r="Q16" i="13" s="1"/>
  <c r="P145" i="8"/>
  <c r="T145" i="8" s="1"/>
  <c r="AL13" i="14" s="1"/>
  <c r="P74" i="8"/>
  <c r="T74" i="8" s="1"/>
  <c r="AC17" i="15" s="1"/>
  <c r="P94" i="8"/>
  <c r="T94" i="8" s="1"/>
  <c r="S16" i="13" s="1"/>
  <c r="P19" i="8"/>
  <c r="T19" i="8" s="1"/>
  <c r="L19" i="9" s="1"/>
  <c r="P85" i="8"/>
  <c r="T85" i="8" s="1"/>
  <c r="L16" i="13" s="1"/>
  <c r="P147" i="8"/>
  <c r="T147" i="8" s="1"/>
  <c r="AN13" i="14" s="1"/>
  <c r="P127" i="8"/>
  <c r="T127" i="8" s="1"/>
  <c r="Q13" i="14" s="1"/>
  <c r="P39" i="8"/>
  <c r="T39" i="8" s="1"/>
  <c r="H16" i="15" s="1"/>
  <c r="P53" i="8"/>
  <c r="T53" i="8" s="1"/>
  <c r="N17" i="15" s="1"/>
  <c r="P158" i="8"/>
  <c r="T158" i="8" s="1"/>
  <c r="N16" i="18" s="1"/>
  <c r="P13" i="8"/>
  <c r="T13" i="8" s="1"/>
  <c r="H19" i="9" s="1"/>
  <c r="P90" i="8"/>
  <c r="T90" i="8" s="1"/>
  <c r="M17" i="13" s="1"/>
  <c r="P62" i="8"/>
  <c r="T62" i="8" s="1"/>
  <c r="T17" i="15" s="1"/>
  <c r="P20" i="8"/>
  <c r="T20" i="8" s="1"/>
  <c r="L20" i="9" s="1"/>
  <c r="P88" i="8"/>
  <c r="T88" i="8" s="1"/>
  <c r="K17" i="13" s="1"/>
  <c r="P99" i="8"/>
  <c r="T99" i="8" s="1"/>
  <c r="Z16" i="13" s="1"/>
  <c r="P110" i="8"/>
  <c r="T110" i="8" s="1"/>
  <c r="AO16" i="13" s="1"/>
  <c r="P70" i="8"/>
  <c r="T70" i="8" s="1"/>
  <c r="Y17" i="15" s="1"/>
  <c r="J56" i="7" l="1"/>
  <c r="J58" i="7" s="1"/>
  <c r="J59" i="7" s="1"/>
  <c r="K50" i="7" s="1"/>
  <c r="P57" i="8"/>
  <c r="T57" i="8" s="1"/>
  <c r="T16" i="15" s="1"/>
  <c r="P58" i="8"/>
  <c r="T58" i="8" s="1"/>
  <c r="U16" i="15" s="1"/>
  <c r="P61" i="8"/>
  <c r="T61" i="8" s="1"/>
  <c r="S17" i="15" s="1"/>
  <c r="P153" i="8"/>
  <c r="T153" i="8" s="1"/>
  <c r="E17" i="18" s="1"/>
  <c r="P45" i="8"/>
  <c r="T45" i="8" s="1"/>
  <c r="K16" i="15" s="1"/>
  <c r="P133" i="8"/>
  <c r="T133" i="8" s="1"/>
  <c r="Y13" i="14" s="1"/>
  <c r="P91" i="8"/>
  <c r="T91" i="8" s="1"/>
  <c r="P16" i="13" s="1"/>
  <c r="P8" i="8"/>
  <c r="T8" i="8" s="1"/>
  <c r="D20" i="9" s="1"/>
  <c r="P65" i="8"/>
  <c r="T65" i="8" s="1"/>
  <c r="Y16" i="15" s="1"/>
  <c r="P114" i="8"/>
  <c r="T114" i="8" s="1"/>
  <c r="AS16" i="13" s="1"/>
  <c r="P35" i="8"/>
  <c r="T35" i="8" s="1"/>
  <c r="D16" i="15" s="1"/>
  <c r="P143" i="8"/>
  <c r="T143" i="8" s="1"/>
  <c r="AJ13" i="14" s="1"/>
  <c r="P83" i="8"/>
  <c r="T83" i="8" s="1"/>
  <c r="J16" i="13" s="1"/>
  <c r="P11" i="8"/>
  <c r="T11" i="8" s="1"/>
  <c r="E20" i="9" s="1"/>
  <c r="P68" i="8"/>
  <c r="T68" i="8" s="1"/>
  <c r="AB16" i="15" s="1"/>
  <c r="P98" i="8"/>
  <c r="T98" i="8" s="1"/>
  <c r="Y16" i="13" s="1"/>
  <c r="P134" i="8"/>
  <c r="T134" i="8" s="1"/>
  <c r="Z13" i="14" s="1"/>
  <c r="P152" i="8"/>
  <c r="T152" i="8" s="1"/>
  <c r="E16" i="18" s="1"/>
  <c r="P119" i="8"/>
  <c r="T119" i="8" s="1"/>
  <c r="G13" i="14" s="1"/>
  <c r="P73" i="8"/>
  <c r="T73" i="8" s="1"/>
  <c r="AB17" i="15" s="1"/>
  <c r="P124" i="8"/>
  <c r="T124" i="8" s="1"/>
  <c r="M13" i="14" s="1"/>
  <c r="P49" i="8"/>
  <c r="T49" i="8" s="1"/>
  <c r="O16" i="15" s="1"/>
  <c r="P159" i="8"/>
  <c r="T159" i="8" s="1"/>
  <c r="L17" i="18" s="1"/>
  <c r="P36" i="8"/>
  <c r="T36" i="8" s="1"/>
  <c r="E16" i="15" s="1"/>
  <c r="P34" i="8"/>
  <c r="T34" i="8" s="1"/>
  <c r="D17" i="12" s="1"/>
  <c r="P107" i="8"/>
  <c r="T107" i="8" s="1"/>
  <c r="AL16" i="13" s="1"/>
  <c r="P106" i="8"/>
  <c r="T106" i="8" s="1"/>
  <c r="AI16" i="13" s="1"/>
  <c r="P157" i="8"/>
  <c r="T157" i="8" s="1"/>
  <c r="M16" i="18" s="1"/>
  <c r="P80" i="8"/>
  <c r="T80" i="8" s="1"/>
  <c r="E17" i="13" s="1"/>
  <c r="P156" i="8"/>
  <c r="T156" i="8" s="1"/>
  <c r="L16" i="18" s="1"/>
  <c r="P151" i="8"/>
  <c r="T151" i="8" s="1"/>
  <c r="C16" i="18" s="1"/>
  <c r="P129" i="8"/>
  <c r="T129" i="8" s="1"/>
  <c r="S13" i="14" s="1"/>
  <c r="P101" i="8"/>
  <c r="T101" i="8" s="1"/>
  <c r="AB16" i="13" s="1"/>
  <c r="P116" i="8"/>
  <c r="T116" i="8" s="1"/>
  <c r="C13" i="14" s="1"/>
  <c r="P167" i="8"/>
  <c r="T167" i="8" s="1"/>
  <c r="H16" i="19" s="1"/>
  <c r="P161" i="8"/>
  <c r="T161" i="8" s="1"/>
  <c r="N17" i="18" s="1"/>
  <c r="P46" i="8"/>
  <c r="T46" i="8" s="1"/>
  <c r="L16" i="15" s="1"/>
  <c r="P126" i="8"/>
  <c r="T126" i="8" s="1"/>
  <c r="P13" i="14" s="1"/>
  <c r="P55" i="8"/>
  <c r="T55" i="8" s="1"/>
  <c r="R16" i="15" s="1"/>
  <c r="P60" i="8"/>
  <c r="T60" i="8" s="1"/>
  <c r="R17" i="15" s="1"/>
  <c r="P111" i="8"/>
  <c r="T111" i="8" s="1"/>
  <c r="AP16" i="13" s="1"/>
  <c r="P103" i="8"/>
  <c r="T103" i="8" s="1"/>
  <c r="AF16" i="13" s="1"/>
  <c r="P67" i="8"/>
  <c r="T67" i="8" s="1"/>
  <c r="AA16" i="15" s="1"/>
  <c r="P154" i="8"/>
  <c r="T154" i="8" s="1"/>
  <c r="H16" i="18" s="1"/>
  <c r="P125" i="8"/>
  <c r="T125" i="8" s="1"/>
  <c r="N13" i="14" s="1"/>
  <c r="P135" i="8"/>
  <c r="T135" i="8" s="1"/>
  <c r="AA13" i="14" s="1"/>
  <c r="P28" i="8"/>
  <c r="T28" i="8" s="1"/>
  <c r="C19" i="11" s="1"/>
  <c r="P170" i="8"/>
  <c r="T170" i="8" s="1"/>
  <c r="N16" i="19" s="1"/>
  <c r="P27" i="8"/>
  <c r="T27" i="8" s="1"/>
  <c r="P21" i="9" s="1"/>
  <c r="P162" i="8"/>
  <c r="T162" i="8" s="1"/>
  <c r="D16" i="16" s="1"/>
  <c r="P165" i="8"/>
  <c r="T165" i="8" s="1"/>
  <c r="E16" i="19" s="1"/>
  <c r="P72" i="8"/>
  <c r="T72" i="8" s="1"/>
  <c r="AA17" i="15" s="1"/>
  <c r="P81" i="8"/>
  <c r="T81" i="8" s="1"/>
  <c r="F17" i="13" s="1"/>
  <c r="P31" i="8"/>
  <c r="T31" i="8" s="1"/>
  <c r="G21" i="11" s="1"/>
  <c r="P141" i="8"/>
  <c r="T141" i="8" s="1"/>
  <c r="AG13" i="14" s="1"/>
  <c r="P29" i="8"/>
  <c r="T29" i="8" s="1"/>
  <c r="G19" i="11" s="1"/>
  <c r="P84" i="8"/>
  <c r="T84" i="8" s="1"/>
  <c r="K16" i="13" s="1"/>
  <c r="P82" i="8"/>
  <c r="T82" i="8" s="1"/>
  <c r="G17" i="13" s="1"/>
  <c r="P164" i="8"/>
  <c r="T164" i="8" s="1"/>
  <c r="E13" i="17" s="1"/>
  <c r="P140" i="8"/>
  <c r="T140" i="8" s="1"/>
  <c r="AF13" i="14" s="1"/>
  <c r="P100" i="8"/>
  <c r="T100" i="8" s="1"/>
  <c r="AA16" i="13" s="1"/>
  <c r="P23" i="8"/>
  <c r="T23" i="8" s="1"/>
  <c r="O20" i="9" s="1"/>
  <c r="P71" i="8"/>
  <c r="T71" i="8" s="1"/>
  <c r="Z17" i="15" s="1"/>
  <c r="P87" i="8"/>
  <c r="T87" i="8" s="1"/>
  <c r="J17" i="13" s="1"/>
  <c r="P109" i="8"/>
  <c r="T109" i="8" s="1"/>
  <c r="AN16" i="13" s="1"/>
  <c r="P105" i="8"/>
  <c r="T105" i="8" s="1"/>
  <c r="AH16" i="13" s="1"/>
  <c r="P130" i="8"/>
  <c r="T130" i="8" s="1"/>
  <c r="T13" i="14" s="1"/>
  <c r="P24" i="8"/>
  <c r="T24" i="8" s="1"/>
  <c r="O21" i="9" s="1"/>
  <c r="P115" i="8"/>
  <c r="T115" i="8" s="1"/>
  <c r="AU16" i="13" s="1"/>
  <c r="P41" i="8"/>
  <c r="T41" i="8" s="1"/>
  <c r="E17" i="15" s="1"/>
  <c r="P18" i="8"/>
  <c r="T18" i="8" s="1"/>
  <c r="K21" i="9" s="1"/>
  <c r="P104" i="8"/>
  <c r="T104" i="8" s="1"/>
  <c r="AG16" i="13" s="1"/>
  <c r="P113" i="8"/>
  <c r="T113" i="8" s="1"/>
  <c r="AR16" i="13" s="1"/>
  <c r="P136" i="8"/>
  <c r="T136" i="8" s="1"/>
  <c r="AB13" i="14" s="1"/>
  <c r="P32" i="8"/>
  <c r="T32" i="8" s="1"/>
  <c r="P89" i="8"/>
  <c r="T89" i="8" s="1"/>
  <c r="L17" i="13" s="1"/>
  <c r="P117" i="8"/>
  <c r="T117" i="8" s="1"/>
  <c r="D13" i="14" s="1"/>
  <c r="P132" i="8"/>
  <c r="T132" i="8" s="1"/>
  <c r="W13" i="14" s="1"/>
  <c r="P102" i="8"/>
  <c r="T102" i="8" s="1"/>
  <c r="AC16" i="13" s="1"/>
  <c r="P142" i="8"/>
  <c r="T142" i="8" s="1"/>
  <c r="AI13" i="14" s="1"/>
  <c r="P79" i="8"/>
  <c r="T79" i="8" s="1"/>
  <c r="D17" i="13" s="1"/>
  <c r="P10" i="8"/>
  <c r="T10" i="8" s="1"/>
  <c r="E19" i="9" s="1"/>
  <c r="P26" i="8"/>
  <c r="T26" i="8" s="1"/>
  <c r="P20" i="9" s="1"/>
  <c r="P66" i="8"/>
  <c r="T66" i="8" s="1"/>
  <c r="Z16" i="15" s="1"/>
  <c r="P63" i="8"/>
  <c r="T63" i="8" s="1"/>
  <c r="U17" i="15" s="1"/>
  <c r="P51" i="8"/>
  <c r="T51" i="8" s="1"/>
  <c r="L17" i="15" s="1"/>
  <c r="P22" i="8"/>
  <c r="P7" i="8"/>
  <c r="T7" i="8" s="1"/>
  <c r="D19" i="9" s="1"/>
  <c r="P168" i="8"/>
  <c r="T168" i="8" s="1"/>
  <c r="H17" i="19" s="1"/>
  <c r="P120" i="8"/>
  <c r="T120" i="8" s="1"/>
  <c r="H13" i="14" s="1"/>
  <c r="P149" i="8"/>
  <c r="T149" i="8" s="1"/>
  <c r="AP13" i="14" s="1"/>
  <c r="P69" i="8"/>
  <c r="T69" i="8" s="1"/>
  <c r="AC16" i="15" s="1"/>
  <c r="P128" i="8"/>
  <c r="T128" i="8" s="1"/>
  <c r="R13" i="14" s="1"/>
  <c r="P95" i="8"/>
  <c r="T95" i="8" s="1"/>
  <c r="V16" i="13" s="1"/>
  <c r="P155" i="8"/>
  <c r="T155" i="8" s="1"/>
  <c r="H17" i="18" s="1"/>
  <c r="P131" i="8"/>
  <c r="T131" i="8" s="1"/>
  <c r="V13" i="14" s="1"/>
  <c r="P160" i="8"/>
  <c r="T160" i="8" s="1"/>
  <c r="M17" i="18" s="1"/>
  <c r="P123" i="8"/>
  <c r="T123" i="8" s="1"/>
  <c r="L13" i="14" s="1"/>
  <c r="P139" i="8"/>
  <c r="T139" i="8" s="1"/>
  <c r="AE13" i="14" s="1"/>
  <c r="P108" i="8"/>
  <c r="T108" i="8" s="1"/>
  <c r="AM16" i="13" s="1"/>
  <c r="P122" i="8"/>
  <c r="T122" i="8" s="1"/>
  <c r="J13" i="14" s="1"/>
  <c r="P50" i="8"/>
  <c r="T50" i="8" s="1"/>
  <c r="K17" i="15" s="1"/>
  <c r="P59" i="8"/>
  <c r="T59" i="8" s="1"/>
  <c r="V16" i="15" s="1"/>
  <c r="P38" i="8"/>
  <c r="T38" i="8" s="1"/>
  <c r="G16" i="15" s="1"/>
  <c r="P30" i="8"/>
  <c r="T30" i="8" s="1"/>
  <c r="G20" i="11" s="1"/>
  <c r="P112" i="8"/>
  <c r="T112" i="8" s="1"/>
  <c r="AQ16" i="13" s="1"/>
  <c r="P44" i="8"/>
  <c r="T44" i="8" s="1"/>
  <c r="H17" i="15" s="1"/>
  <c r="P77" i="8"/>
  <c r="T77" i="8" s="1"/>
  <c r="F16" i="13" s="1"/>
  <c r="P12" i="8"/>
  <c r="T12" i="8" s="1"/>
  <c r="E21" i="9" s="1"/>
  <c r="P150" i="8"/>
  <c r="T150" i="8" s="1"/>
  <c r="AQ13" i="14" s="1"/>
  <c r="P14" i="8"/>
  <c r="T14" i="8" s="1"/>
  <c r="H20" i="9" s="1"/>
  <c r="P42" i="8"/>
  <c r="T42" i="8" s="1"/>
  <c r="F17" i="15" s="1"/>
  <c r="P33" i="8"/>
  <c r="T33" i="8" s="1"/>
  <c r="D16" i="12" s="1"/>
  <c r="P86" i="8"/>
  <c r="T86" i="8" s="1"/>
  <c r="M16" i="13" s="1"/>
  <c r="P25" i="8"/>
  <c r="P40" i="8"/>
  <c r="T40" i="8" s="1"/>
  <c r="D17" i="15" s="1"/>
  <c r="P137" i="8"/>
  <c r="T137" i="8" s="1"/>
  <c r="AC13" i="14" s="1"/>
  <c r="P15" i="8"/>
  <c r="T15" i="8" s="1"/>
  <c r="H21" i="9" s="1"/>
  <c r="P144" i="8"/>
  <c r="T144" i="8" s="1"/>
  <c r="AK13" i="14" s="1"/>
  <c r="P76" i="8"/>
  <c r="T76" i="8" s="1"/>
  <c r="E16" i="13" s="1"/>
  <c r="P43" i="8"/>
  <c r="T43" i="8" s="1"/>
  <c r="G17" i="15" s="1"/>
  <c r="P52" i="8"/>
  <c r="T52" i="8" s="1"/>
  <c r="M17" i="15" s="1"/>
  <c r="P146" i="8"/>
  <c r="T146" i="8" s="1"/>
  <c r="AM1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Poisson Jonathan</author>
  </authors>
  <commentList>
    <comment ref="E17" authorId="0" shapeId="0" xr:uid="{A9F05565-A4A0-4943-8234-B1EB0712D097}">
      <text>
        <r>
          <rPr>
            <sz val="8"/>
            <color indexed="81"/>
            <rFont val="Tahoma"/>
            <family val="2"/>
          </rPr>
          <t>*uniquement pour la partie de ces charges qui résulte de l’application de la méthode comptable aux ELD en ayant fait la demande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Poisson Jonathan</author>
  </authors>
  <commentList>
    <comment ref="B17" authorId="0" shapeId="0" xr:uid="{F824E202-A6D8-48C9-A2E2-9B8D6DAA6F58}">
      <text>
        <r>
          <rPr>
            <sz val="8"/>
            <color indexed="81"/>
            <rFont val="Tahoma"/>
            <family val="2"/>
          </rPr>
          <t>*uniquement pour la partie de ces charges qui résulte de l’application de la méthode comptable aux ELD en ayant fait la demande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tc={C255DB62-D765-429A-A9C5-64A45E35F5D9}</author>
    <author>Poisson Jonathan</author>
  </authors>
  <commentList>
    <comment ref="D62" authorId="0" shapeId="0" xr:uid="{C255DB62-D765-429A-A9C5-64A45E35F5D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Ecart de recette = Recette prévisionnelle (y compris terme de lissage) *(Delta inflation)
écart de CNE incité (correction inflation) = CNE prev N *(inflation cumulée 2018-2022 "réalisé" - inflation cumulée 2018-2022 prévisionnelle)</t>
      </text>
    </comment>
    <comment ref="H64" authorId="1" shapeId="0" xr:uid="{F456360A-B5E2-4526-BBAE-9F05796ECD2E}">
      <text>
        <r>
          <rPr>
            <b/>
            <sz val="9"/>
            <color indexed="81"/>
            <rFont val="Tahoma"/>
            <family val="2"/>
          </rPr>
          <t>Poisson Jonathan:</t>
        </r>
        <r>
          <rPr>
            <sz val="9"/>
            <color indexed="81"/>
            <rFont val="Tahoma"/>
            <family val="2"/>
          </rPr>
          <t xml:space="preserve">
Formule correcte mais le CRCP ne s'annule pas à la fin de la période…
Piste d'erreurs : 
Calcul de l'apurement prévisionnel (sens de l'apurement)
Dénominateur de l'apurement (utilisation des bonnes recettes prévisionnelles ?)
Utilisation de l'inflation cumulée à partir de l'année 2020 ou 2021 ?</t>
        </r>
      </text>
    </comment>
  </commentList>
</comments>
</file>

<file path=xl/sharedStrings.xml><?xml version="1.0" encoding="utf-8"?>
<sst xmlns="http://schemas.openxmlformats.org/spreadsheetml/2006/main" count="1282" uniqueCount="432">
  <si>
    <t>NE PAS MODIFIER LES CELLULES DANS CET ONGLET</t>
  </si>
  <si>
    <t>NOTICE</t>
  </si>
  <si>
    <t>Onglet</t>
  </si>
  <si>
    <t>Contenu / Fonction de l'onglet</t>
  </si>
  <si>
    <t>NE PAS SAISIR DANS CET ONGLET</t>
  </si>
  <si>
    <t>saisir données dans 
les cellules en vert</t>
  </si>
  <si>
    <t>IPC</t>
  </si>
  <si>
    <t>Consignes</t>
  </si>
  <si>
    <t>Actions</t>
  </si>
  <si>
    <t>Cellules</t>
  </si>
  <si>
    <r>
      <t xml:space="preserve">CRCP au 31 décembre </t>
    </r>
    <r>
      <rPr>
        <b/>
        <i/>
        <sz val="11"/>
        <rFont val="Franklin Gothic Book"/>
        <family val="2"/>
      </rPr>
      <t>N-1</t>
    </r>
    <r>
      <rPr>
        <b/>
        <sz val="10"/>
        <rFont val="Arial"/>
        <family val="2"/>
      </rPr>
      <t/>
    </r>
  </si>
  <si>
    <r>
      <t xml:space="preserve">1. reporter la valeur de l'indice d'inflation INSEE 1763852 (base 100 en 2015) de l'ensemble des mois de l'année </t>
    </r>
    <r>
      <rPr>
        <i/>
        <sz val="11"/>
        <rFont val="Franklin Gothic Book"/>
        <family val="2"/>
      </rPr>
      <t>N-1</t>
    </r>
  </si>
  <si>
    <r>
      <t>Evolutions au 01/07/</t>
    </r>
    <r>
      <rPr>
        <b/>
        <i/>
        <sz val="11"/>
        <rFont val="Franklin Gothic Book"/>
        <family val="2"/>
      </rPr>
      <t>N</t>
    </r>
  </si>
  <si>
    <t>saisir données dans les cellules en vert</t>
  </si>
  <si>
    <t>Les valeurs issues de la délibération du 28 juin 2018</t>
  </si>
  <si>
    <t xml:space="preserve">Les cellules pré-remplies avec des valeurs en italique de couleur bleue sur fond vert sont à mettre à jour </t>
  </si>
  <si>
    <t xml:space="preserve">Les valeurs définitives sont en couleur noir </t>
  </si>
  <si>
    <t>domaine de tension et puissance de raccordement</t>
  </si>
  <si>
    <t>CCARD (€/an)</t>
  </si>
  <si>
    <t>HTA</t>
  </si>
  <si>
    <t>BT &gt; 36 kVA</t>
  </si>
  <si>
    <r>
      <t xml:space="preserve">BT </t>
    </r>
    <r>
      <rPr>
        <sz val="10"/>
        <color theme="1"/>
        <rFont val="Symbol"/>
        <family val="1"/>
        <charset val="2"/>
      </rPr>
      <t>£</t>
    </r>
    <r>
      <rPr>
        <sz val="10"/>
        <color theme="1"/>
        <rFont val="Franklin Gothic Book"/>
        <family val="2"/>
      </rPr>
      <t xml:space="preserve"> 36 kVA</t>
    </r>
  </si>
  <si>
    <t>Taux sans risque (Rf)</t>
  </si>
  <si>
    <t>Facteur d'évolution annuel X</t>
  </si>
  <si>
    <t>POSTES DE CHARGES</t>
  </si>
  <si>
    <t>Charges de capital totales</t>
  </si>
  <si>
    <t>SOMME DES POSTES DE CHARGES DU REVENU AUTORISE PREVISIONNEL</t>
  </si>
  <si>
    <t>RECETTES</t>
  </si>
  <si>
    <t>Contributions des utilisateurs reçues au titre du raccordement</t>
  </si>
  <si>
    <t>SOMME DES POSTES DE RECETTES DU REVENU AUTORISE PREVISIONNEL</t>
  </si>
  <si>
    <t>INCITATIONS</t>
  </si>
  <si>
    <t>Régulation incitative des coûts unitaires des investissements dans les réseaux</t>
  </si>
  <si>
    <t>Régulation incitative spécifique au projet de comptage évolué Linky</t>
  </si>
  <si>
    <t>Régulation incitative de la qualité de service</t>
  </si>
  <si>
    <t>SOMME DES INCITATIONS FINANCIERES DU REVENU AUTORISE PREVISIONNEL</t>
  </si>
  <si>
    <t>CRCP</t>
  </si>
  <si>
    <t>CRL</t>
  </si>
  <si>
    <t>Montant imputé au CRL du projet Linky</t>
  </si>
  <si>
    <t>MONTANT IMPUTE AU CRL DU PROJET LINKY</t>
  </si>
  <si>
    <t>Inflation</t>
  </si>
  <si>
    <t xml:space="preserve">   Cumul entre 2019 et l'année N</t>
  </si>
  <si>
    <t>Postes du revenu autorisé prévisionnel (M€)</t>
  </si>
  <si>
    <t>Charges nettes d’exploitation incitées prévisionnelles</t>
  </si>
  <si>
    <t>Charges de capital normatives incitées "hors réseaux" prévisionnelles</t>
  </si>
  <si>
    <t>Charges de capital normatives non incitées</t>
  </si>
  <si>
    <t>VAN</t>
  </si>
  <si>
    <t>Revenu autorisé prévisionnel total sur la période tarifaire 2020-2023</t>
  </si>
  <si>
    <t>Recettes tarifaires prévisionnelles (M€)</t>
  </si>
  <si>
    <t xml:space="preserve">Ecart annuel entre recettes prévisionnelles et revenu autorisé prévisionnel (lissage temporel) </t>
  </si>
  <si>
    <t>Equilibre tarifaire prévisionnel</t>
  </si>
  <si>
    <t>INFLATION IPC</t>
  </si>
  <si>
    <t>Libellé</t>
  </si>
  <si>
    <t>Indice des prix à la consommation - Base 2015 - Ensemble des ménages - France - Ensemble hors tabac</t>
  </si>
  <si>
    <t>Inflation constatée</t>
  </si>
  <si>
    <t>Référence projet de loi de finances (chiffres clés)</t>
  </si>
  <si>
    <t>Année</t>
  </si>
  <si>
    <t>Mois</t>
  </si>
  <si>
    <t>IPC hors tabac série mensuelle</t>
  </si>
  <si>
    <r>
      <t xml:space="preserve">Prévision IPC hors tabac pour l'année </t>
    </r>
    <r>
      <rPr>
        <b/>
        <i/>
        <sz val="10"/>
        <color theme="1"/>
        <rFont val="Franklin Gothic Book"/>
        <family val="2"/>
      </rPr>
      <t>N+1 (%)</t>
    </r>
  </si>
  <si>
    <t>Référence INSEE</t>
  </si>
  <si>
    <r>
      <t xml:space="preserve">Evolution de l'IPC entre l'année </t>
    </r>
    <r>
      <rPr>
        <b/>
        <i/>
        <sz val="10"/>
        <rFont val="Franklin Gothic Book"/>
        <family val="2"/>
      </rPr>
      <t>N-1</t>
    </r>
    <r>
      <rPr>
        <b/>
        <sz val="10"/>
        <rFont val="Franklin Gothic Book"/>
        <family val="2"/>
      </rPr>
      <t xml:space="preserve"> et l'année </t>
    </r>
    <r>
      <rPr>
        <b/>
        <i/>
        <sz val="10"/>
        <rFont val="Franklin Gothic Book"/>
        <family val="2"/>
      </rPr>
      <t>N</t>
    </r>
    <r>
      <rPr>
        <b/>
        <sz val="10"/>
        <rFont val="Franklin Gothic Book"/>
        <family val="2"/>
      </rPr>
      <t xml:space="preserve"> (%)</t>
    </r>
  </si>
  <si>
    <t xml:space="preserve">   cumul entre 2019 et l'année N</t>
  </si>
  <si>
    <t>Les cellules sont pré-remplies avec les données prévisionnelles prises en compte par la CRE, en italique de couleur bleue</t>
  </si>
  <si>
    <r>
      <t xml:space="preserve">Indice moyen année </t>
    </r>
    <r>
      <rPr>
        <i/>
        <sz val="10"/>
        <rFont val="Franklin Gothic Book"/>
        <family val="2"/>
      </rPr>
      <t>N</t>
    </r>
    <r>
      <rPr>
        <sz val="10"/>
        <rFont val="Franklin Gothic Book"/>
        <family val="2"/>
      </rPr>
      <t xml:space="preserve"> base 100 en 2019</t>
    </r>
  </si>
  <si>
    <r>
      <t xml:space="preserve">Inflation prévisionnelle IPC entre l'année </t>
    </r>
    <r>
      <rPr>
        <i/>
        <sz val="10"/>
        <rFont val="Franklin Gothic Book"/>
        <family val="2"/>
      </rPr>
      <t>N-1</t>
    </r>
    <r>
      <rPr>
        <sz val="10"/>
        <rFont val="Franklin Gothic Book"/>
        <family val="2"/>
      </rPr>
      <t xml:space="preserve"> et l'année </t>
    </r>
    <r>
      <rPr>
        <i/>
        <sz val="10"/>
        <rFont val="Franklin Gothic Book"/>
        <family val="2"/>
      </rPr>
      <t>N</t>
    </r>
    <r>
      <rPr>
        <sz val="10"/>
        <color theme="1"/>
        <rFont val="Franklin Gothic Book"/>
        <family val="2"/>
      </rPr>
      <t xml:space="preserve"> </t>
    </r>
    <r>
      <rPr>
        <b/>
        <sz val="10"/>
        <color rgb="FFFF0000"/>
        <rFont val="Franklin Gothic Book"/>
        <family val="2"/>
      </rPr>
      <t>(délibération page 39)</t>
    </r>
  </si>
  <si>
    <t>Charges liées au paiement du TURPE HTB pour les postes source d’Enedis</t>
  </si>
  <si>
    <t>Charges relatives au raccordement des postes source au réseau public de transport</t>
  </si>
  <si>
    <t>Charges relatives aux pertes ainsi que la régulation incitative relative aux pertes</t>
  </si>
  <si>
    <t>Charges relatives aux impayés des clients finals correspondants au TURPE</t>
  </si>
  <si>
    <t>Charges relatives aux contributions d’Enedis au fonds de péréquation de l’électricité (FPE)*</t>
  </si>
  <si>
    <t>Charges nettes relatives à la contrepartie versée aux fournisseurs pour la gestion des clients en contrat unique</t>
  </si>
  <si>
    <t>Coûts échoués (valeur nette comptable des immobilisations démolies)</t>
  </si>
  <si>
    <t>Redevances de concession pour les variations dues au nombre de contrats renouvelés par Enedis</t>
  </si>
  <si>
    <t>Charges associées à la mise en oeuvre des flexibilités</t>
  </si>
  <si>
    <t>Charges d’exploitation associées à la remise en état du réseau à la suite d’aléas climatiques</t>
  </si>
  <si>
    <t>Montants retenus au titre du mécanisme de prise en compte des projets de déploiement in-dustriel des réseaux électriques intelligents</t>
  </si>
  <si>
    <t>Ecart prévisionnel annuel entre les recettes prévisionnelles et le revenu autorisé prévisionnel</t>
  </si>
  <si>
    <t>Recettes au titre des plus-values réalisées dans le cadre de la cession d’actifs immobiliers ou de terrains</t>
  </si>
  <si>
    <t>Ecarts de recettes liés à des évolutions non prévues de tarifs des prestations annexes</t>
  </si>
  <si>
    <t>Montants déterminés par la CRE au titre de la prise en compte des contrats conclus par le groupe EDF avec des tiers relatifs au comptage évolué</t>
  </si>
  <si>
    <t>Régulation incitative de la continuité d’alimentation</t>
  </si>
  <si>
    <t>Régulation incitative sur mise à disposition des données</t>
  </si>
  <si>
    <t>Régulation incitative permettant de soutenir l’innovation à l’externe</t>
  </si>
  <si>
    <t>Régulation incitative des dépenses de recherche et développement (R&amp;D)</t>
  </si>
  <si>
    <t>Apurement du solde du CRCP prévisionnel du TURPE 5 HTA-BT</t>
  </si>
  <si>
    <t>APUREMENT DU SOLDE DU CRCP DU TURPE 5 HTA-BT</t>
  </si>
  <si>
    <t>Recettes prévisionnelles du 1er janvier au 31 juillet de l'année N</t>
  </si>
  <si>
    <t>Recettes prévisionnelles du 1er août au 31 décembre de l'année N</t>
  </si>
  <si>
    <t>Recettes prévisionnelles calculées à partir de la grille tarifaire TURPE 5 en vigueur au 1er août 2020</t>
  </si>
  <si>
    <r>
      <t xml:space="preserve">   </t>
    </r>
    <r>
      <rPr>
        <i/>
        <sz val="10"/>
        <color theme="0" tint="-0.34998626667073579"/>
        <rFont val="Franklin Gothic Book"/>
        <family val="2"/>
      </rPr>
      <t>Evolution prédisionnelle cumulée IPC + X</t>
    </r>
  </si>
  <si>
    <t>Evolution prédisionnelle IPC + X</t>
  </si>
  <si>
    <t>Revenu autorisé hors lissage</t>
  </si>
  <si>
    <t>Terme de lissage</t>
  </si>
  <si>
    <t>ÉQUILIBRE TARIFAIRE PRÉVISIONNEL TURPE 6</t>
  </si>
  <si>
    <t>Recettes prévisionnelles totales (terme de lissage inclus)</t>
  </si>
  <si>
    <t>Les valeurs issues d'un calcul sont sur fond violet</t>
  </si>
  <si>
    <t>Recettes tarifaires perçues par Enedis (M€)</t>
  </si>
  <si>
    <t>Recettes tarifaires totales</t>
  </si>
  <si>
    <t>Recettes tarifaires hors Rf</t>
  </si>
  <si>
    <t>Recettes tarifaires liées à la perception commissionnement fournisseur</t>
  </si>
  <si>
    <t>Postes du revenu autorisé (M€ courants)</t>
  </si>
  <si>
    <t>Charges de capital non incitées ("autres charges de capital")</t>
  </si>
  <si>
    <t>dont charges de capitales hors Linky</t>
  </si>
  <si>
    <t>dont CCN Linky</t>
  </si>
  <si>
    <t>dont rémunération des IEC</t>
  </si>
  <si>
    <t>dont retraitements au titre de la loi "Elan"</t>
  </si>
  <si>
    <r>
      <rPr>
        <b/>
        <sz val="10"/>
        <color rgb="FFFF0000"/>
        <rFont val="Franklin Gothic Book"/>
        <family val="2"/>
      </rPr>
      <t>NE PAS MODIFIER LES CELLULES DANS CET ONGLET -</t>
    </r>
    <r>
      <rPr>
        <b/>
        <sz val="10"/>
        <color rgb="FFC00000"/>
        <rFont val="Franklin Gothic Book"/>
        <family val="2"/>
      </rPr>
      <t xml:space="preserve"> </t>
    </r>
    <r>
      <rPr>
        <b/>
        <i/>
        <sz val="10"/>
        <color rgb="FFC00000"/>
        <rFont val="Franklin Gothic Book"/>
        <family val="2"/>
      </rPr>
      <t>uniquement choisir l'année dans la cellule F2</t>
    </r>
  </si>
  <si>
    <t>Evolution annuelle</t>
  </si>
  <si>
    <r>
      <t xml:space="preserve">Evolution de l'inflation réalisée entre l'année </t>
    </r>
    <r>
      <rPr>
        <i/>
        <sz val="10"/>
        <rFont val="Franklin Gothic Book"/>
        <family val="2"/>
      </rPr>
      <t>N-1</t>
    </r>
    <r>
      <rPr>
        <sz val="10"/>
        <rFont val="Franklin Gothic Book"/>
        <family val="2"/>
      </rPr>
      <t xml:space="preserve"> et l'année </t>
    </r>
    <r>
      <rPr>
        <i/>
        <sz val="10"/>
        <rFont val="Franklin Gothic Book"/>
        <family val="2"/>
      </rPr>
      <t>N</t>
    </r>
  </si>
  <si>
    <t xml:space="preserve">   Cumul entre 2019 et l'année N réalisé</t>
  </si>
  <si>
    <t xml:space="preserve">   Cumul entre 2019 et l'année N déliibéré</t>
  </si>
  <si>
    <r>
      <t xml:space="preserve">Revenu autorisé calculé </t>
    </r>
    <r>
      <rPr>
        <i/>
        <sz val="20"/>
        <color rgb="FFFFFFFF"/>
        <rFont val="Franklin Gothic Book"/>
        <family val="2"/>
      </rPr>
      <t>ex post</t>
    </r>
  </si>
  <si>
    <r>
      <t xml:space="preserve">Postes du revenu autorisé calculé </t>
    </r>
    <r>
      <rPr>
        <i/>
        <sz val="12"/>
        <color theme="0"/>
        <rFont val="Franklin Gothic Book"/>
        <family val="2"/>
      </rPr>
      <t>ex post</t>
    </r>
    <r>
      <rPr>
        <sz val="12"/>
        <color theme="0"/>
        <rFont val="Franklin Gothic Book"/>
        <family val="2"/>
      </rPr>
      <t xml:space="preserve"> pour la part proportionnelle aux quantités acheminées</t>
    </r>
  </si>
  <si>
    <t>Charges</t>
  </si>
  <si>
    <t>Recettes</t>
  </si>
  <si>
    <t>Incitations financières</t>
  </si>
  <si>
    <t>Revenu autorisé définitif</t>
  </si>
  <si>
    <t xml:space="preserve"> </t>
  </si>
  <si>
    <t>Evolution du solde du CRCP</t>
  </si>
  <si>
    <t>Evolutions annuelles</t>
  </si>
  <si>
    <t>Calcul de l'évolution tarifaire à réaliser</t>
  </si>
  <si>
    <r>
      <t>Dénominateur de l'apurement sur le 2</t>
    </r>
    <r>
      <rPr>
        <vertAlign val="superscript"/>
        <sz val="11"/>
        <color theme="1"/>
        <rFont val="Franklin Gothic Book"/>
        <family val="2"/>
      </rPr>
      <t>nd</t>
    </r>
    <r>
      <rPr>
        <sz val="11"/>
        <rFont val="Franklin Gothic Book"/>
        <family val="2"/>
      </rPr>
      <t xml:space="preserve"> semestre de l'année </t>
    </r>
    <r>
      <rPr>
        <i/>
        <sz val="11"/>
        <rFont val="Franklin Gothic Book"/>
        <family val="2"/>
      </rPr>
      <t>N</t>
    </r>
    <r>
      <rPr>
        <sz val="11"/>
        <rFont val="Franklin Gothic Book"/>
        <family val="2"/>
      </rPr>
      <t xml:space="preserve"> et le 1</t>
    </r>
    <r>
      <rPr>
        <vertAlign val="superscript"/>
        <sz val="11"/>
        <rFont val="Franklin Gothic Book"/>
        <family val="2"/>
      </rPr>
      <t>er</t>
    </r>
    <r>
      <rPr>
        <sz val="11"/>
        <rFont val="Franklin Gothic Book"/>
        <family val="2"/>
      </rPr>
      <t xml:space="preserve"> semestre de l'année </t>
    </r>
    <r>
      <rPr>
        <i/>
        <sz val="11"/>
        <rFont val="Franklin Gothic Book"/>
        <family val="2"/>
      </rPr>
      <t>N+1</t>
    </r>
  </si>
  <si>
    <t>k tenant compte des années antérieures</t>
  </si>
  <si>
    <r>
      <t xml:space="preserve">Inflation prévisionnelle IPC utilisée pour l'évolution tarifaire au 1er aout </t>
    </r>
    <r>
      <rPr>
        <i/>
        <sz val="10"/>
        <color theme="1"/>
        <rFont val="Franklin Gothic Book"/>
        <family val="2"/>
      </rPr>
      <t>N+1 (inflation loi de finance)</t>
    </r>
  </si>
  <si>
    <t>Charges nettes d'exploitation (CNE) incitées (i.a)</t>
  </si>
  <si>
    <t>Charges de capital incitées "hors réseaux" (i.b)</t>
  </si>
  <si>
    <t>Autres charges de capital (charges de capital non incitées) (i.c)</t>
  </si>
  <si>
    <t>Charges liées au paiement du TURPE HTB pour les postes source d’Enedis (i.d)</t>
  </si>
  <si>
    <t>Charges relatives au raccordement des postes source au réseau public de transport (i.e)</t>
  </si>
  <si>
    <t>Charges relatives aux pertes ainsi que la régulation incitative relative aux pertes (i.f)</t>
  </si>
  <si>
    <t>Charges relatives aux impayés des clients finals correspondants au TURPE (i.g)</t>
  </si>
  <si>
    <t>Charges relatives aux contributions d’Enedis au fonds de péréquation de l’électricité (FPE)*  (i.h)</t>
  </si>
  <si>
    <t>Charges nettes relatives à la contrepartie versée aux fournisseurs pour la gestion des clients en contrat unique (i.i)</t>
  </si>
  <si>
    <t>Coûts échoués (valeur nette comptable des immobilisations démolies) (i.j)</t>
  </si>
  <si>
    <t>Redevances de concession pour les variations dues au nombre de contrats renouvelés par Enedis (i.k)</t>
  </si>
  <si>
    <t>Charges associées à la mise en oeuvre des flexibilités (i.l)</t>
  </si>
  <si>
    <t>Charges d’exploitation associées à la remise en état du réseau à la suite d’aléas climatiques (i.m)</t>
  </si>
  <si>
    <t>Montants retenus au titre du mécanisme de prise en compte des projets de déploiement in-dustriel des réseaux électriques intelligents (i.n)</t>
  </si>
  <si>
    <t>Ecart prévisionnel annuel entre les recettes prévisionnelles et le revenu autorisé prévisionnel (i.o)</t>
  </si>
  <si>
    <t>CRCP ET ÉVOLUTIONS ANNUELLES TURPE 6</t>
  </si>
  <si>
    <t>Solde du CRCP au 31 décembre N</t>
  </si>
  <si>
    <t>Actualisation du solde du CRCP au 1er janvier N+1</t>
  </si>
  <si>
    <r>
      <t xml:space="preserve">Solde du CRCP au 1er janvier </t>
    </r>
    <r>
      <rPr>
        <b/>
        <i/>
        <sz val="10"/>
        <color rgb="FFC00000"/>
        <rFont val="Franklin Gothic Book"/>
        <family val="2"/>
      </rPr>
      <t>N</t>
    </r>
  </si>
  <si>
    <r>
      <t>Apurement prévisionnel entre le 1</t>
    </r>
    <r>
      <rPr>
        <vertAlign val="superscript"/>
        <sz val="11"/>
        <rFont val="Franklin Gothic Book"/>
        <family val="2"/>
      </rPr>
      <t>er</t>
    </r>
    <r>
      <rPr>
        <sz val="11"/>
        <rFont val="Franklin Gothic Book"/>
        <family val="2"/>
      </rPr>
      <t xml:space="preserve"> janvier et le 31 juillet de l'année </t>
    </r>
    <r>
      <rPr>
        <i/>
        <sz val="11"/>
        <rFont val="Franklin Gothic Book"/>
        <family val="2"/>
      </rPr>
      <t>N</t>
    </r>
  </si>
  <si>
    <r>
      <t>Solde prévisionnel du CRCP au 1</t>
    </r>
    <r>
      <rPr>
        <vertAlign val="superscript"/>
        <sz val="11"/>
        <rFont val="Franklin Gothic Book"/>
        <family val="2"/>
      </rPr>
      <t>er</t>
    </r>
    <r>
      <rPr>
        <sz val="11"/>
        <rFont val="Franklin Gothic Book"/>
        <family val="2"/>
      </rPr>
      <t xml:space="preserve"> août </t>
    </r>
    <r>
      <rPr>
        <i/>
        <sz val="11"/>
        <rFont val="Franklin Gothic Book"/>
        <family val="2"/>
      </rPr>
      <t>N</t>
    </r>
  </si>
  <si>
    <r>
      <rPr>
        <b/>
        <sz val="10"/>
        <color rgb="FFFF0000"/>
        <rFont val="Franklin Gothic Book"/>
        <family val="2"/>
      </rPr>
      <t>NE PAS MODIFIER LES CELLULES DANS CET ONGLET -</t>
    </r>
    <r>
      <rPr>
        <b/>
        <sz val="10"/>
        <color rgb="FFC00000"/>
        <rFont val="Franklin Gothic Book"/>
        <family val="2"/>
      </rPr>
      <t xml:space="preserve"> </t>
    </r>
  </si>
  <si>
    <t>0 si arrondi au centième
1 si arrondi à 12 c€</t>
  </si>
  <si>
    <t>Arrondi</t>
  </si>
  <si>
    <t>Contrat d’accès au réseau conclu par l’utilisateur</t>
  </si>
  <si>
    <t>€/an</t>
  </si>
  <si>
    <t>CCARD</t>
  </si>
  <si>
    <t xml:space="preserve">CG (hors </t>
  </si>
  <si>
    <t>CG</t>
  </si>
  <si>
    <t>CCARD)</t>
  </si>
  <si>
    <t>BT ≤ 36 kVA</t>
  </si>
  <si>
    <t>Contrat d’accès au réseau conclu par le fournisseur</t>
  </si>
  <si>
    <t>Rf</t>
  </si>
  <si>
    <t>CG (hors Rf)</t>
  </si>
  <si>
    <t>BT ≤  36 kVA</t>
  </si>
  <si>
    <t>CCARD + Rf</t>
  </si>
  <si>
    <t>CCARD et Rf)</t>
  </si>
  <si>
    <t>Composante de comptage (€/an)</t>
  </si>
  <si>
    <t>Mensuelle</t>
  </si>
  <si>
    <t>Bimestrielle ou semestrielle</t>
  </si>
  <si>
    <t>c€/MWh</t>
  </si>
  <si>
    <t>BT</t>
  </si>
  <si>
    <t>Coefficient pondérateur de puissance (€/kW/an)</t>
  </si>
  <si>
    <t>HP</t>
  </si>
  <si>
    <t>€/kW/an</t>
  </si>
  <si>
    <t>HPSH</t>
  </si>
  <si>
    <t>HCSH</t>
  </si>
  <si>
    <t>HPSB</t>
  </si>
  <si>
    <t>HCSB</t>
  </si>
  <si>
    <t>Coefficient pondérateur de l'énergie (c€/kWh)</t>
  </si>
  <si>
    <t>c€/kWh</t>
  </si>
  <si>
    <t>Coefficient pondérateur de puissance (€/kVA/an)</t>
  </si>
  <si>
    <t>€/kVA/an</t>
  </si>
  <si>
    <t>Alloproduit - Coefficient pondérateur de l'énergie (c€/kWh)</t>
  </si>
  <si>
    <t>Autoproduit - Coefficient pondérateur de l'énergie (c€/kWh)</t>
  </si>
  <si>
    <t>α (€/h)</t>
  </si>
  <si>
    <t>€/h</t>
  </si>
  <si>
    <t>c€/kVA/an</t>
  </si>
  <si>
    <t>HC</t>
  </si>
  <si>
    <t>€/cellule/an</t>
  </si>
  <si>
    <t>Liaisons aériennes</t>
  </si>
  <si>
    <t>€/km/an</t>
  </si>
  <si>
    <t>Liaisons souterraines</t>
  </si>
  <si>
    <t>Domaine de tension de l'alimentation principale HTB2 / de secours HTA</t>
  </si>
  <si>
    <t>Part puissance</t>
  </si>
  <si>
    <t>Part énergie</t>
  </si>
  <si>
    <t>α</t>
  </si>
  <si>
    <t>c€/kW</t>
  </si>
  <si>
    <t>Domaine de tension de l'alimentation principale HTB1 / de secours HTA</t>
  </si>
  <si>
    <t>k</t>
  </si>
  <si>
    <t>€/kW/km/an</t>
  </si>
  <si>
    <t>Domaine de tension du point de connexion BT / de la tarification appliquée HTA</t>
  </si>
  <si>
    <t>Rapport tg φmax = 0,4</t>
  </si>
  <si>
    <t>c€/kVAr.h</t>
  </si>
  <si>
    <t>BT &gt; 36 kVA</t>
  </si>
  <si>
    <t>Installation non régulée en tension</t>
  </si>
  <si>
    <t>Installation régulée en tension</t>
  </si>
  <si>
    <t>Tableau 34 : Composante annuelle de gestion hors Rf et Ccard</t>
  </si>
  <si>
    <t>du 01/08/2021 
au 31/07/2022</t>
  </si>
  <si>
    <t>du 01/08/2022 
au 31/07/2023</t>
  </si>
  <si>
    <t>du 01/08/2023 
au 31/07/2024</t>
  </si>
  <si>
    <t>du 01/08/2024 
au 31/07/2025</t>
  </si>
  <si>
    <t>Tableau 35 : Composante de gestion hors Rf et hors Ccard des autoproducteurs individuels avec injection</t>
  </si>
  <si>
    <t>Tableau 36 : Composante de gestion hors Rf et hors Ccard des autoproducteurs individuels sans injection</t>
  </si>
  <si>
    <t>Tableau 37 : Composante de gestion hors Rf et hors Ccard des autoproducteurs en collectif</t>
  </si>
  <si>
    <t>Tableau 38 : Composante annuelle de comptage applicable - Utilisateurs sans dispositif de comptage</t>
  </si>
  <si>
    <t>Tableau 39 : Composante annuelle de comptage applicable – Utilisateurs avec dispositif de comptage</t>
  </si>
  <si>
    <t>Tableau 41 : Tarif HTA à 5 plages temporelles à pointe fixe applicable  – courte utilisation</t>
  </si>
  <si>
    <t>Tableau 42 : Tarif HTA à 5 plages temporelles à pointe fixe applicable – longue utilisation</t>
  </si>
  <si>
    <t>Tableau 43 : Tarif HTA à 5 plages temporelles à pointe mobile applicable – courte utilisation</t>
  </si>
  <si>
    <t>Tableau 44 : Tarif HTA à 5 plages temporelles à pointe mobile applicable – longue utilisation</t>
  </si>
  <si>
    <t>Tableau 45 : Tarif BT &gt; 36 kVA à 4 plages temporelles applicable – courte utilisation</t>
  </si>
  <si>
    <t>Tableau 46 : Tarif BT &gt; 36 kVA à 4 plages temporelles applicable – longue utilisation</t>
  </si>
  <si>
    <t>Tableau 47 : Tarif BT &gt; 36 kVA à 4 plages temporelles applicable– courte utilisation – autoproduction collective (en aval d’un même poste HTA/BT)</t>
  </si>
  <si>
    <t>Tableau 48 : Tarif BT &gt; 36 kVA à 4 plages temporelles applicable – courte utilisation – autoproduction collective (en aval d’un même poste HTA/BT)</t>
  </si>
  <si>
    <t>Tableau 49 : Tarif BT &gt; 36 kVA à 4 plages temporelles applicable– longue utilisation – autoproduction collective (en aval d’un même poste HTA/BT)</t>
  </si>
  <si>
    <t>Tableau 50 : Tarif BT &gt; 36 kVA à 4 plages temporelles applicable – longue utilisation – autoproduction collective (en aval d’un même poste HTA/BT)</t>
  </si>
  <si>
    <t xml:space="preserve">Tableau 51 : CMDPS BT &gt; 36 kVA </t>
  </si>
  <si>
    <r>
      <t>Tableau 52 : Tarif BT ≤</t>
    </r>
    <r>
      <rPr>
        <sz val="9.35"/>
        <color theme="1"/>
        <rFont val="Franklin Gothic Book"/>
        <family val="2"/>
      </rPr>
      <t xml:space="preserve"> 36 kVA sans différenciation temporelle courte utilisation - part puissance</t>
    </r>
  </si>
  <si>
    <r>
      <t>Tableau 53 : Tarif BT ≤</t>
    </r>
    <r>
      <rPr>
        <sz val="9.35"/>
        <color theme="1"/>
        <rFont val="Franklin Gothic Book"/>
        <family val="2"/>
      </rPr>
      <t xml:space="preserve"> 36 kVA sans différenciation temporelle courte utilisation - part énergie</t>
    </r>
  </si>
  <si>
    <r>
      <t>Tableau 54 : Tarif BT ≤</t>
    </r>
    <r>
      <rPr>
        <sz val="9.35"/>
        <color theme="1"/>
        <rFont val="Franklin Gothic Book"/>
        <family val="2"/>
      </rPr>
      <t xml:space="preserve"> 36 kVA à 4 plages temporelles courte utilisation - part puissance</t>
    </r>
  </si>
  <si>
    <t>Tableau 55 : Tarif BT ≤ 36 kVA à 4 plages temporelles courte utilisation - part énergie</t>
  </si>
  <si>
    <r>
      <t>Tableau 56 : Tarif BT ≤</t>
    </r>
    <r>
      <rPr>
        <sz val="9.35"/>
        <color theme="1"/>
        <rFont val="Franklin Gothic Book"/>
        <family val="2"/>
      </rPr>
      <t xml:space="preserve"> 36 kVA à 2 plages temporelles moyenne utilisation - part puissance</t>
    </r>
  </si>
  <si>
    <t>Tableau 57 : Tarif BT ≤ 36 kVA à 2 plages temporelles moyenne utilisation - part énergie</t>
  </si>
  <si>
    <r>
      <t>Tableau 58 : Tarif BT ≤</t>
    </r>
    <r>
      <rPr>
        <sz val="9.35"/>
        <color theme="1"/>
        <rFont val="Franklin Gothic Book"/>
        <family val="2"/>
      </rPr>
      <t xml:space="preserve"> 36 kVA à 4 plages temporelles moyenne utilisation - part puissance</t>
    </r>
  </si>
  <si>
    <t>Tableau 59 : Tarif BT ≤ 36 kVA à 4 plages temporelles moyenne utilisation - part énergie</t>
  </si>
  <si>
    <r>
      <t>Tableau 60 : Tarif BT ≤</t>
    </r>
    <r>
      <rPr>
        <sz val="9.35"/>
        <color theme="1"/>
        <rFont val="Franklin Gothic Book"/>
        <family val="2"/>
      </rPr>
      <t xml:space="preserve"> 36 kVA sans différenciation temporelle longue utilisation - part puissance</t>
    </r>
  </si>
  <si>
    <r>
      <t>Tableau 61 : Tarif BT ≤</t>
    </r>
    <r>
      <rPr>
        <sz val="9.35"/>
        <color theme="1"/>
        <rFont val="Franklin Gothic Book"/>
        <family val="2"/>
      </rPr>
      <t xml:space="preserve"> 36 kVA sans différenciation temporelle longue utilisation - part énergie</t>
    </r>
  </si>
  <si>
    <t>Tableau 62 et 63 : Tarif BT ≤ 36 kVA à 4 plages temporelles courte utilisation - autoproduction collective</t>
  </si>
  <si>
    <t>Tableau 64 et 65 : Tarif BT ≤ 36 kVA à 4 plages temporelles moyenne utilisation - autoproduction collective</t>
  </si>
  <si>
    <t>Tableau 66 : Alimentations complémentaires - domaine de tension HTA</t>
  </si>
  <si>
    <t>Tableau 67 : Alimentation de secours - réservation de puissance</t>
  </si>
  <si>
    <t>Tableau 68 : Alimentations de secours - tarification du réseau électrique publique permettant le secours</t>
  </si>
  <si>
    <t>Tableau 69 : Composante de regroupement - Domaine de tension HTA</t>
  </si>
  <si>
    <t>Tableau 70 :  Composante annuelle d'utilisation des ouvrages de transformation</t>
  </si>
  <si>
    <t>Tableau 71 : Composante annuelle à l'énergie réactive - flux de soutirage</t>
  </si>
  <si>
    <t>Tableau 72 : Composante annuelle à l'énergie réactive - flux d'injection</t>
  </si>
  <si>
    <t>Tableau 73 : Composante annuelle à l'énergie réactive - flux d'injection</t>
  </si>
  <si>
    <t>Tableau 74 : Composante annuelle à l'énergie réactive entre deux gestionnaires de réseaux publics d'électricité</t>
  </si>
  <si>
    <t>Rf (€/an)</t>
  </si>
  <si>
    <t>Valeurs de référence à compter du 1er août 2022</t>
  </si>
  <si>
    <t>Valeurs des coefficients pour la période du 1er août 2022 au 31 juillet 2023</t>
  </si>
  <si>
    <t>Valeurs des coefficients pour la période du 1er août 2023 au 31 juillet 2024</t>
  </si>
  <si>
    <t>Valeurs des coefficients pour la période du 1er août 2024 au 31 juillet 2025</t>
  </si>
  <si>
    <t>Coefficents (hors Rf et CCARD) de la grille tarifaire résultant de l'indexation annuelle</t>
  </si>
  <si>
    <t>CG (€/an)</t>
  </si>
  <si>
    <t>du 01/08/2021 au 31/07/2022</t>
  </si>
  <si>
    <t>du 01/08/2022 au 31/07/2023</t>
  </si>
  <si>
    <t>du 01/08/2023 au 31/07/2024</t>
  </si>
  <si>
    <t>du 01/08/2024 au 31/07/2025</t>
  </si>
  <si>
    <t>Valeurs des coefficients pour la période du 1er août 2021 au 31 juillet 2022</t>
  </si>
  <si>
    <t>COMPOSANTE ANNUELLE DE GESTION (CG) (hors Rf et Ccard)</t>
  </si>
  <si>
    <t>COMPOSANTE ANNUELLE DE COMPTAGE (CC)</t>
  </si>
  <si>
    <t>Tableau 38 : Composante annuelle de comptage 
Utilisateurs sans dispositif de comptage</t>
  </si>
  <si>
    <t>Tableau 39 : Composante annuelle de comptage 
Utilisateurs avec dispositif de comptage</t>
  </si>
  <si>
    <t>Domaine de tension / Puissance</t>
  </si>
  <si>
    <t>Fréquence minimale de transmission</t>
  </si>
  <si>
    <t>Composante annuelle de comptage (€/an)</t>
  </si>
  <si>
    <t>BT £ 36 kVA</t>
  </si>
  <si>
    <t>Tableau 40 : Composante annuelle des injections</t>
  </si>
  <si>
    <t>COMPOSANTE ANNUELLE DES INJECTIONS (CI)</t>
  </si>
  <si>
    <t>Domaine de tension</t>
  </si>
  <si>
    <t>Composante annuelle des injections (€/an)</t>
  </si>
  <si>
    <t>COMPOSANTES ANNUELLES DE SOUTIRAGES (CS) ET COMPOSANTES MENSUELLES DES DEPASSEMENTS DE PUISSANCE SOUSCRITE (CMDPS) AU DOMAINE DE TENSION HTA</t>
  </si>
  <si>
    <t>Tableau 41 : Tarif HTA à 5 plages temporelles à pointe fixe – courte utilisation</t>
  </si>
  <si>
    <t>HTA 5 PF CU</t>
  </si>
  <si>
    <t>Coefficient pondérateur de puissance
(€/kW/an)</t>
  </si>
  <si>
    <t>Coefficient pondérateur de l'énergie
(c€/kWh)</t>
  </si>
  <si>
    <t>Heure de pointe
(i=1)</t>
  </si>
  <si>
    <t>Heures pleines de saison haute 
(i=2)</t>
  </si>
  <si>
    <t>Heures creuses de saison haute
(i=3)</t>
  </si>
  <si>
    <t>Heures pleines de saison basse
(i=4)</t>
  </si>
  <si>
    <t>Heures creuses de saison basse
(i=5)</t>
  </si>
  <si>
    <t>Tableau 42 : HTA à 5 plages temporelles à pointe fixe – longue utilisation</t>
  </si>
  <si>
    <t>HTA 5 PF LU</t>
  </si>
  <si>
    <t>Tableau 43 : Tarif HTA à 5 plages temporelles à pointe mobile – courte utilisation</t>
  </si>
  <si>
    <t>HTA 5 PM CU</t>
  </si>
  <si>
    <t>Tableau 44 : Tarif HTA à 5 plages temporelles à pointe mobile – longue utilisation</t>
  </si>
  <si>
    <t>HTA 5 PM LU</t>
  </si>
  <si>
    <t>COMPOSANTES ANNUELLES DE SOUTIRAGES (CS) ET COMPOSANTES MENSUELLES DES DEPASSEMENTS DE PUISSANCE SOUSCRITE (CMDPS) AU DOMAINE DE TENSION BT &gt; 36 KVA</t>
  </si>
  <si>
    <t>Tableau 45 : Tarif BT &gt; 36 kVA à 4 plages temporelles – courte utilisation</t>
  </si>
  <si>
    <t>BT&gt; 4 CU</t>
  </si>
  <si>
    <t>Tableau 46 : Tarif BT &gt; 36 kVA à 4 plages temporelles – longue utilisation</t>
  </si>
  <si>
    <t>BT&gt; 4 LU</t>
  </si>
  <si>
    <t>Tableau 47 : Tarif BT &gt; 36 kVA à 4 plages temporelles – courte utilisation – autoproduction collective (en aval d’un même poste HTA/BT)</t>
  </si>
  <si>
    <t>Heures pleines de saison haute 
(i=1)</t>
  </si>
  <si>
    <t>Heures creuses de saison haute
(i=2)</t>
  </si>
  <si>
    <t>Heures pleines de saison basse
(i=3)</t>
  </si>
  <si>
    <t>Heures creuses de saison basse
(i=4)</t>
  </si>
  <si>
    <t>BT&gt; 4 CU AC</t>
  </si>
  <si>
    <t>Tableau 48 : Tarif BT &gt; 36 kVA à 4 plages temporelles – courte utilisation – autoproduction collective (en aval d’un même poste HTA/BT)</t>
  </si>
  <si>
    <t>Heures pleines de saison haute alloproduit (j = 1)</t>
  </si>
  <si>
    <t>Heures pleines de saison basse alloproduit (j = 3)</t>
  </si>
  <si>
    <t>Heures creuses de saison haute alloproduit (j = 2)</t>
  </si>
  <si>
    <t>Heures creuses de saison basse alloproduit (j = 4)</t>
  </si>
  <si>
    <t>Heures pleines de saison haute autoproduit (j = 5)</t>
  </si>
  <si>
    <t>Heures creuses de saison haute autoproduit (j = 6)</t>
  </si>
  <si>
    <t>Heures pleines de saison basse autoproduit (j = 7)</t>
  </si>
  <si>
    <t>Heures creuses de saison basse autoproduit (j = 8)</t>
  </si>
  <si>
    <t/>
  </si>
  <si>
    <t>Tableau 49 : Tarif BT &gt; 36 kVA à 4 plages temporelles – longue utilisation – autoproduction collective (en aval d’un même poste HTA/BT)</t>
  </si>
  <si>
    <t>BT&gt; 4 LU AC</t>
  </si>
  <si>
    <t>Tableau 50 : Tarif BT &gt; 36 kVA à 4 plages temporelles – longue utilisation – autoproduction collective (en aval d’un même poste HTA/BT)</t>
  </si>
  <si>
    <t>Tableau 51 : Composante mensuelle des dépassements de puissance souscrite BT &gt; 36 kVA</t>
  </si>
  <si>
    <t>α (€ / h)</t>
  </si>
  <si>
    <t>COMPOSANTES ANNUELLES DE SOUTIRAGES (CS) ET COMPOSANTES MENSUELLES DES DEPASSEMENTS DE PUISSANCE SOUSCRITE (CMDPS) AU DOMAINE DE TENSION BT ≤ 36 KVA</t>
  </si>
  <si>
    <t>Tableau 52 : Tarif BT ≤ 36 kVA sans différenciation temporelle courte utilisation – part puissance</t>
  </si>
  <si>
    <t>Tableau 53 : Tarif BT ≤ 36 kVA sans différenciation temporelle courte utilisation – part énergie</t>
  </si>
  <si>
    <t>b (€/kVA)</t>
  </si>
  <si>
    <t>c (c€/kWh)</t>
  </si>
  <si>
    <t>Tableau 54 : Tarif BT ≤ 36 kVA à 4 plages temporelles courte utilisation – part puissance</t>
  </si>
  <si>
    <t>Tableau 55 : Tarif BT ≤ 36 kVA à 4 plages temporelles courte utilisation applicable – part énergie</t>
  </si>
  <si>
    <t>b (€/kVA/an)</t>
  </si>
  <si>
    <t>c1
Heures pleines de saison haute (c€/kWh)</t>
  </si>
  <si>
    <t>c2
Heures pleines de saison haute (c€/kWh)</t>
  </si>
  <si>
    <t>c3
Heures pleines de saison haute (c€/kWh)</t>
  </si>
  <si>
    <t>c4
Heures pleines de saison haute (c€/kWh)</t>
  </si>
  <si>
    <t>Tableau 56 : Tarif BT ≤ 36 kVA à 2 plages temporelles moyenne utilisation – part puissance</t>
  </si>
  <si>
    <t>Tableau 57 : Tarif BT ≤ 36 kVA à 2 plages temporelles moyenne utilisation – part énergie</t>
  </si>
  <si>
    <t>c1
Heures pleines (c€/kWh)</t>
  </si>
  <si>
    <t>c2
Heures creuses (c€/kWh)</t>
  </si>
  <si>
    <t>Tableau 58 : Tarif BT ≤ 36 kVA à 4 plages temporelles moyenne utilisation – part puissance</t>
  </si>
  <si>
    <t>Tableau 59 : Tarif BT ≤ 36 kVA à 4 plages temporelles moyenne utilisation – part énergie</t>
  </si>
  <si>
    <t>Tableau 60 : Tarif BT ≤ 36 kVA sans différenciation temporelle longue utilisation – part puissance</t>
  </si>
  <si>
    <t>Tableau 61 : Tarif BT ≤ 36 kVA sans différenciation temporelle longue utilisation – part énergie</t>
  </si>
  <si>
    <t>Tableau 62 : Tarif BT ≤ 36 kVA à quatre plages temporelles courte utilisation – part puissance – autoproduction collective (en aval d’un même poste HTA/BT)</t>
  </si>
  <si>
    <t>Tableau 63 : Tarif BT ≤ 36 kVA à quatre plages temporelles courte utilisation– part énergie – autoproduction collective (en aval d’un même poste HTA/BT)</t>
  </si>
  <si>
    <t>Tableau 64 : Tarif BT ≤ 36 kVA à 4 plages temporelles moyenne utilisation – part puissance – autoproduction collective (en aval d’un même poste HTA/BT)</t>
  </si>
  <si>
    <t>Tableau 65 : Tarif BT ≤ 36 kVA à 4 plages temporelles moyenne utilisation – part énergie – autoproduction collective (en aval d’un même poste HTA/BT)</t>
  </si>
  <si>
    <t>COMPOSANTE ANNUELLE DES ALIMENTATIONS COMPLEMENTAIRES ET DE SECOURS (CACS)</t>
  </si>
  <si>
    <t>Tableau 66 : composante des alimentations complémentaires (domaine de tension HTA)</t>
  </si>
  <si>
    <t>Cellules 
(€/cellule/an)</t>
  </si>
  <si>
    <t>Liaisons (€/km/an)</t>
  </si>
  <si>
    <t>Tableau 67 : composante des alimentations de secours – réservation de puissance</t>
  </si>
  <si>
    <t>Domaine de tension de l'alimentation</t>
  </si>
  <si>
    <t>HTA (€/kW/an)</t>
  </si>
  <si>
    <t>BT (€/kVA/an)</t>
  </si>
  <si>
    <t>Tableau 68 : composante des alimentations de secours – tarification du réseau électrique public permettant le secours</t>
  </si>
  <si>
    <t>Domaine de tension de l’alimentation principale</t>
  </si>
  <si>
    <t>Domaine de tension de l’alimentation de secours</t>
  </si>
  <si>
    <t>Part puissance
(€/kW/an)</t>
  </si>
  <si>
    <t>Part énergie (c€/kWh)</t>
  </si>
  <si>
    <t>α
(c€/kW)</t>
  </si>
  <si>
    <t>HTB 2</t>
  </si>
  <si>
    <t>HTB 1</t>
  </si>
  <si>
    <t>COMPOSANTE DE REGROUPEMENT (CR)</t>
  </si>
  <si>
    <t>Tableau 69 : Composante de regroupement</t>
  </si>
  <si>
    <t>k
(€/kW/km/an)</t>
  </si>
  <si>
    <t>COMPOSANTE ANNUELLE D'UTILISATION DES OUVRAGES DE TRANSFORMATION (CT)</t>
  </si>
  <si>
    <t>Tableau 70 : Composante annuelle d’utilisation des ouvrages de transformation</t>
  </si>
  <si>
    <t>Domaine de tension du point de connexion</t>
  </si>
  <si>
    <t>Domaine de tension de la tarification appliquée</t>
  </si>
  <si>
    <t>k (€/kW/an)</t>
  </si>
  <si>
    <t>COMPOSANTE ANNUELLE DE L'ENERGIE REACTIVE (CER)</t>
  </si>
  <si>
    <t>Tableau 71 : Composante annuelle à l’énergie réactive – flux de soutirage</t>
  </si>
  <si>
    <t>Tableau 72 : Composante annuelle à l’énergie réactive – flux d’injection (installation non régulée en tension)</t>
  </si>
  <si>
    <t>Tableau 73 : Composante annuelle à l’énergie réactive – flux d’injection (installation régulée en tension)</t>
  </si>
  <si>
    <t>Tableau 74 : Composante annuelle de l’énergie réactive entre deux gestionnaires de réseaux publics d’électricité</t>
  </si>
  <si>
    <r>
      <rPr>
        <b/>
        <sz val="14"/>
        <color rgb="FF000000"/>
        <rFont val="Franklin Gothic Book"/>
        <family val="2"/>
      </rPr>
      <t>Avertissement</t>
    </r>
    <r>
      <rPr>
        <b/>
        <sz val="11"/>
        <color rgb="FF000000"/>
        <rFont val="Franklin Gothic Book"/>
        <family val="2"/>
      </rPr>
      <t xml:space="preserve">
</t>
    </r>
    <r>
      <rPr>
        <sz val="11"/>
        <color rgb="FF000000"/>
        <rFont val="Franklin Gothic Book"/>
        <family val="2"/>
      </rPr>
      <t xml:space="preserve">Le fichier présenté ici constitue un outil à vocation pédagogique et tend à illustrer les mécanismes décrits dans la délibération du 17 novembre 2016 en vue de faciliter sa compréhension.
Sa publication répond également à un souci croissant de transparence afin d’éclairer les acteurs sur les données structurantes ayant conduit à l’adoption de la délibération et d’améliorer leur visibilité sur les évolutions futures au cours de la période TURPE5.
Ce fichier ne fait cependant pas partie intégrante de la délibération, pas plus qu’il n’en constitue un guide d’interprétation. </t>
    </r>
  </si>
  <si>
    <t>Equilibre prévisionnel</t>
  </si>
  <si>
    <t>DATA</t>
  </si>
  <si>
    <r>
      <rPr>
        <b/>
        <sz val="11"/>
        <rFont val="Franklin Gothic Book"/>
        <family val="2"/>
      </rPr>
      <t xml:space="preserve">DONNEES D'ENTREE </t>
    </r>
    <r>
      <rPr>
        <sz val="11"/>
        <rFont val="Franklin Gothic Book"/>
        <family val="2"/>
      </rPr>
      <t xml:space="preserve">: Inflation réalisée,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</si>
  <si>
    <t>Montants réalisés</t>
  </si>
  <si>
    <t>CRCP &amp; évolutions</t>
  </si>
  <si>
    <r>
      <t xml:space="preserve">NE PAS SAISIR DANS CET ONGLET, 
</t>
    </r>
    <r>
      <rPr>
        <b/>
        <sz val="10"/>
        <color rgb="FFC00000"/>
        <rFont val="Franklin Gothic Book"/>
        <family val="2"/>
      </rPr>
      <t>sauf choix de l'année (cellule E2)</t>
    </r>
  </si>
  <si>
    <t>Grille tarifaire</t>
  </si>
  <si>
    <r>
      <t xml:space="preserve">NE PAS SAISIR DANS CET ONGLET 
</t>
    </r>
    <r>
      <rPr>
        <b/>
        <sz val="10"/>
        <color rgb="FFC00000"/>
        <rFont val="Franklin Gothic Book"/>
        <family val="2"/>
      </rPr>
      <t/>
    </r>
  </si>
  <si>
    <r>
      <rPr>
        <b/>
        <sz val="11"/>
        <rFont val="Franklin Gothic Book"/>
        <family val="2"/>
      </rPr>
      <t>RESULTATS</t>
    </r>
    <r>
      <rPr>
        <sz val="11"/>
        <rFont val="Franklin Gothic Book"/>
        <family val="2"/>
      </rPr>
      <t xml:space="preserve"> : composante annuelle de gestion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</si>
  <si>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CC</t>
  </si>
  <si>
    <r>
      <rPr>
        <b/>
        <sz val="11"/>
        <rFont val="Franklin Gothic Book"/>
        <family val="2"/>
      </rPr>
      <t>RESULTATS</t>
    </r>
    <r>
      <rPr>
        <sz val="11"/>
        <rFont val="Franklin Gothic Book"/>
        <family val="2"/>
      </rPr>
      <t xml:space="preserve"> : composante annuelle de comptage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</si>
  <si>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CI</t>
  </si>
  <si>
    <r>
      <rPr>
        <b/>
        <sz val="11"/>
        <rFont val="Franklin Gothic Book"/>
        <family val="2"/>
      </rPr>
      <t>RESULTATS</t>
    </r>
    <r>
      <rPr>
        <sz val="11"/>
        <rFont val="Franklin Gothic Book"/>
        <family val="2"/>
      </rPr>
      <t xml:space="preserve"> : composante annuelle des injections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</si>
  <si>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CS et CMDPS - HTA</t>
  </si>
  <si>
    <r>
      <rPr>
        <b/>
        <sz val="11"/>
        <rFont val="Franklin Gothic Book"/>
        <family val="2"/>
      </rPr>
      <t xml:space="preserve">RESULTATS : </t>
    </r>
    <r>
      <rPr>
        <sz val="11"/>
        <rFont val="Franklin Gothic Book"/>
        <family val="2"/>
      </rPr>
      <t xml:space="preserve"> composantes annuelles de soutirage (CS) et composantes mensuelles des dépassements de puissance souscrite (CMDPS) au domaine de tension HTA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</si>
  <si>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CS et CMDPS - BT &gt; 36</t>
  </si>
  <si>
    <r>
      <rPr>
        <b/>
        <sz val="11"/>
        <rFont val="Franklin Gothic Book"/>
        <family val="2"/>
      </rPr>
      <t xml:space="preserve">RESULTATS : </t>
    </r>
    <r>
      <rPr>
        <sz val="11"/>
        <rFont val="Franklin Gothic Book"/>
        <family val="2"/>
      </rPr>
      <t xml:space="preserve"> composantes annuelles de soutirage (CS) et composantes mensuelles des dépassements de puissance souscrite (CMDPS) au domaine de tension BT &gt; 36 kVA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</si>
  <si>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CS - BT &lt; 36</t>
  </si>
  <si>
    <r>
      <rPr>
        <b/>
        <sz val="11"/>
        <rFont val="Franklin Gothic Book"/>
        <family val="2"/>
      </rPr>
      <t xml:space="preserve">RESULTATS : </t>
    </r>
    <r>
      <rPr>
        <sz val="11"/>
        <rFont val="Franklin Gothic Book"/>
        <family val="2"/>
      </rPr>
      <t xml:space="preserve"> composantes annuelles de soutirage (CS) pour le domaine de tension BT ≤ 36 kVA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</si>
  <si>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CACS</t>
  </si>
  <si>
    <r>
      <rPr>
        <b/>
        <sz val="11"/>
        <rFont val="Franklin Gothic Book"/>
        <family val="2"/>
      </rPr>
      <t xml:space="preserve">RESULTATS : </t>
    </r>
    <r>
      <rPr>
        <sz val="11"/>
        <rFont val="Franklin Gothic Book"/>
        <family val="2"/>
      </rPr>
      <t xml:space="preserve"> composantes annuelles des alimentations complémentaires et de secours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</si>
  <si>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CR</t>
  </si>
  <si>
    <r>
      <rPr>
        <b/>
        <sz val="11"/>
        <rFont val="Franklin Gothic Book"/>
        <family val="2"/>
      </rPr>
      <t xml:space="preserve">RESULTATS : </t>
    </r>
    <r>
      <rPr>
        <sz val="11"/>
        <rFont val="Franklin Gothic Book"/>
        <family val="2"/>
      </rPr>
      <t xml:space="preserve"> composantes annuelles de regroupement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</si>
  <si>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CT</t>
  </si>
  <si>
    <r>
      <rPr>
        <b/>
        <sz val="11"/>
        <rFont val="Franklin Gothic Book"/>
        <family val="2"/>
      </rPr>
      <t xml:space="preserve">RESULTATS : </t>
    </r>
    <r>
      <rPr>
        <sz val="11"/>
        <rFont val="Franklin Gothic Book"/>
        <family val="2"/>
      </rPr>
      <t xml:space="preserve"> composantes annuelles de d'utilisation des ouvrages de transformation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</si>
  <si>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colonne D</t>
  </si>
  <si>
    <r>
      <t xml:space="preserve">2. reporter la valeur de la part des clients BT ≤ 36 kVA en offre de marché au 31 décembre de l'année </t>
    </r>
    <r>
      <rPr>
        <i/>
        <sz val="11"/>
        <color theme="1"/>
        <rFont val="Franklin Gothic Book"/>
        <family val="2"/>
      </rPr>
      <t>N-1</t>
    </r>
  </si>
  <si>
    <t>E18 à E22</t>
  </si>
  <si>
    <r>
      <t xml:space="preserve">3. reporter les valeurs des différents postes du revenu autorisé de l'année </t>
    </r>
    <r>
      <rPr>
        <i/>
        <sz val="11"/>
        <rFont val="Franklin Gothic Book"/>
        <family val="2"/>
      </rPr>
      <t>N-1</t>
    </r>
    <r>
      <rPr>
        <sz val="11"/>
        <rFont val="Franklin Gothic Book"/>
        <family val="2"/>
      </rPr>
      <t>, à partir des calculs prévus par la délibération TURPE 5 HTA-BT ou des données comptables d'Enedis</t>
    </r>
  </si>
  <si>
    <t>colonnes 
D à F</t>
  </si>
  <si>
    <r>
      <t xml:space="preserve">4. sélectionner l'année en cours </t>
    </r>
    <r>
      <rPr>
        <i/>
        <sz val="11"/>
        <rFont val="Franklin Gothic Book"/>
        <family val="2"/>
      </rPr>
      <t>N</t>
    </r>
    <r>
      <rPr>
        <sz val="11"/>
        <rFont val="Franklin Gothic Book"/>
        <family val="2"/>
      </rPr>
      <t xml:space="preserve"> dans la liste déroulante de la cellule jaune E2</t>
    </r>
  </si>
  <si>
    <t>cellule E2</t>
  </si>
  <si>
    <r>
      <t xml:space="preserve">5. relever les résultats : le solde du CRCP au 31 décembre de l'année </t>
    </r>
    <r>
      <rPr>
        <i/>
        <sz val="11"/>
        <rFont val="Franklin Gothic Book"/>
        <family val="2"/>
      </rPr>
      <t>N-1</t>
    </r>
    <r>
      <rPr>
        <sz val="11"/>
        <rFont val="Franklin Gothic Book"/>
        <family val="2"/>
      </rPr>
      <t xml:space="preserve">, le coefficient K de l'année </t>
    </r>
    <r>
      <rPr>
        <i/>
        <sz val="11"/>
        <rFont val="Franklin Gothic Book"/>
        <family val="2"/>
      </rPr>
      <t>N</t>
    </r>
    <r>
      <rPr>
        <sz val="11"/>
        <rFont val="Franklin Gothic Book"/>
        <family val="2"/>
      </rPr>
      <t xml:space="preserve"> et les coefficients d'évolution annuelle cumulée au 1</t>
    </r>
    <r>
      <rPr>
        <vertAlign val="superscript"/>
        <sz val="11"/>
        <rFont val="Franklin Gothic Book"/>
        <family val="2"/>
      </rPr>
      <t>er</t>
    </r>
    <r>
      <rPr>
        <sz val="11"/>
        <rFont val="Franklin Gothic Book"/>
        <family val="2"/>
      </rPr>
      <t xml:space="preserve"> août </t>
    </r>
    <r>
      <rPr>
        <i/>
        <sz val="11"/>
        <rFont val="Franklin Gothic Book"/>
        <family val="2"/>
      </rPr>
      <t>N</t>
    </r>
  </si>
  <si>
    <t>lignes 45, 63 et 68 à 71</t>
  </si>
  <si>
    <r>
      <t>6. relever les résultats : les termes de la nouvelle grille tarifaire au 1</t>
    </r>
    <r>
      <rPr>
        <vertAlign val="superscript"/>
        <sz val="11"/>
        <color theme="1"/>
        <rFont val="Franklin Gothic Book"/>
        <family val="2"/>
      </rPr>
      <t>er</t>
    </r>
    <r>
      <rPr>
        <sz val="11"/>
        <color theme="1"/>
        <rFont val="Franklin Gothic Book"/>
        <family val="2"/>
      </rPr>
      <t xml:space="preserve"> août </t>
    </r>
    <r>
      <rPr>
        <i/>
        <sz val="11"/>
        <rFont val="Franklin Gothic Book"/>
        <family val="2"/>
      </rPr>
      <t>N</t>
    </r>
  </si>
  <si>
    <t>colonnes 
R à T</t>
  </si>
  <si>
    <r>
      <rPr>
        <b/>
        <sz val="11"/>
        <rFont val="Franklin Gothic Book"/>
        <family val="2"/>
      </rPr>
      <t xml:space="preserve">DONNEES D'ENTREE : </t>
    </r>
    <r>
      <rPr>
        <sz val="11"/>
        <rFont val="Franklin Gothic Book"/>
        <family val="2"/>
      </rPr>
      <t xml:space="preserve">
Valeurs prévisionnelles pour la période TURPE 6</t>
    </r>
  </si>
  <si>
    <t>Rf et Ccard</t>
  </si>
  <si>
    <r>
      <rPr>
        <b/>
        <sz val="11"/>
        <rFont val="Franklin Gothic Book"/>
        <family val="2"/>
      </rPr>
      <t>RESULTATS :</t>
    </r>
    <r>
      <rPr>
        <sz val="11"/>
        <rFont val="Franklin Gothic Book"/>
        <family val="2"/>
      </rPr>
      <t xml:space="preserve"> coefficient Rf et Ccard pour le commissionnement fournisseur</t>
    </r>
  </si>
  <si>
    <r>
      <rPr>
        <b/>
        <sz val="11"/>
        <rFont val="Franklin Gothic Book"/>
        <family val="2"/>
      </rPr>
      <t>DONNEES D'ENTREE :</t>
    </r>
    <r>
      <rPr>
        <sz val="11"/>
        <rFont val="Franklin Gothic Book"/>
        <family val="2"/>
      </rPr>
      <t xml:space="preserve"> données comptables ENEDIS réalisées des postes du revenu autorisé calculé ex post selon la délibération TURPE 6 HTA-BT,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</si>
  <si>
    <r>
      <rPr>
        <b/>
        <sz val="11"/>
        <rFont val="Franklin Gothic Book"/>
        <family val="2"/>
      </rPr>
      <t>CALCUL :</t>
    </r>
    <r>
      <rPr>
        <sz val="11"/>
        <rFont val="Franklin Gothic Book"/>
        <family val="2"/>
      </rPr>
      <t xml:space="preserve"> chaque année de 2022 à 2025, le solde du CRCP au 31 décembre de l'année </t>
    </r>
    <r>
      <rPr>
        <i/>
        <sz val="11"/>
        <rFont val="Franklin Gothic Book"/>
        <family val="2"/>
      </rPr>
      <t xml:space="preserve">N-1 </t>
    </r>
    <r>
      <rPr>
        <sz val="11"/>
        <rFont val="Franklin Gothic Book"/>
        <family val="2"/>
      </rPr>
      <t xml:space="preserve">est calculé à partir des données d'entrée. Il permet d'obtenir le coefficient K(N) de l'année </t>
    </r>
    <r>
      <rPr>
        <i/>
        <sz val="11"/>
        <rFont val="Franklin Gothic Book"/>
        <family val="2"/>
      </rPr>
      <t>N</t>
    </r>
    <r>
      <rPr>
        <sz val="11"/>
        <rFont val="Franklin Gothic Book"/>
        <family val="2"/>
      </rPr>
      <t xml:space="preserve"> et le pourcentage d'évolution à appliquer à la grille tarifaire au 1er août </t>
    </r>
    <r>
      <rPr>
        <i/>
        <sz val="11"/>
        <rFont val="Franklin Gothic Book"/>
        <family val="2"/>
      </rPr>
      <t>N</t>
    </r>
    <r>
      <rPr>
        <sz val="11"/>
        <rFont val="Franklin Gothic Book"/>
        <family val="2"/>
      </rPr>
      <t xml:space="preserve"> (selon la formule IPC(N) + X(N) + K(N))</t>
    </r>
  </si>
  <si>
    <r>
      <rPr>
        <b/>
        <sz val="11"/>
        <rFont val="Franklin Gothic Book"/>
        <family val="2"/>
      </rPr>
      <t>RESULTATS :</t>
    </r>
    <r>
      <rPr>
        <sz val="11"/>
        <rFont val="Franklin Gothic Book"/>
        <family val="2"/>
      </rPr>
      <t xml:space="preserve"> composantes du TURPE 6 HTA BT du 1er août N au 31 juillet N+1 </t>
    </r>
  </si>
  <si>
    <t>CG (y.c Rf et Ccard)</t>
  </si>
  <si>
    <t xml:space="preserve">RESULTATS : composante annuelle de gestion additionnée des coefficients Rf ou Ccard du 1er août N au 31 juillet N+1 </t>
  </si>
  <si>
    <t>Evolution prévisionnelle au 1er août du TURPE HTB (IPC+X)</t>
  </si>
  <si>
    <t>Evolution au 1er août du TURPE HTB (IPC+X+K)</t>
  </si>
  <si>
    <t>Evolution prévisionnelle cumulée</t>
  </si>
  <si>
    <t>Evolution cumulée</t>
  </si>
  <si>
    <t>Revenu autorisé prévisionnel révisé de l'inflation</t>
  </si>
  <si>
    <t>Recettes prévisionnelles révisées des évolutions tarifaires réellement appliquées</t>
  </si>
  <si>
    <t>Régulation incitative des dépenses de R&amp;D</t>
  </si>
  <si>
    <t>Solde prévisionnel du CRCP au 31 décembre N</t>
  </si>
  <si>
    <t>Différence de revenus et de recettes au titre de l'année N</t>
  </si>
  <si>
    <t>Recettes tarifaires définitives d'Enedis</t>
  </si>
  <si>
    <r>
      <t xml:space="preserve">Coefficient d'évolution </t>
    </r>
    <r>
      <rPr>
        <b/>
        <i/>
        <sz val="11"/>
        <color rgb="FFC00000"/>
        <rFont val="Franklin Gothic Book"/>
        <family val="2"/>
      </rPr>
      <t>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 </t>
    </r>
    <r>
      <rPr>
        <b/>
        <i/>
        <sz val="11"/>
        <color rgb="FFC00000"/>
        <rFont val="Franklin Gothic Book"/>
        <family val="2"/>
      </rPr>
      <t>N</t>
    </r>
  </si>
  <si>
    <r>
      <t xml:space="preserve">Evolution réalisée </t>
    </r>
    <r>
      <rPr>
        <b/>
        <i/>
        <sz val="11"/>
        <color rgb="FFC00000"/>
        <rFont val="Franklin Gothic Book"/>
        <family val="2"/>
      </rPr>
      <t>(IPC+X+k)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t>
    </r>
    <r>
      <rPr>
        <b/>
        <i/>
        <sz val="11"/>
        <color rgb="FFC00000"/>
        <rFont val="Franklin Gothic Book"/>
        <family val="2"/>
      </rPr>
      <t xml:space="preserve"> N</t>
    </r>
  </si>
  <si>
    <r>
      <t xml:space="preserve">Coefficient </t>
    </r>
    <r>
      <rPr>
        <i/>
        <sz val="11"/>
        <rFont val="Franklin Gothic Book"/>
        <family val="2"/>
      </rPr>
      <t>k</t>
    </r>
    <r>
      <rPr>
        <sz val="11"/>
        <rFont val="Franklin Gothic Book"/>
        <family val="2"/>
      </rPr>
      <t xml:space="preserve"> déplafonné au 1</t>
    </r>
    <r>
      <rPr>
        <vertAlign val="superscript"/>
        <sz val="11"/>
        <rFont val="Franklin Gothic Book"/>
        <family val="2"/>
      </rPr>
      <t>er</t>
    </r>
    <r>
      <rPr>
        <sz val="11"/>
        <rFont val="Franklin Gothic Book"/>
        <family val="2"/>
      </rPr>
      <t xml:space="preserve"> août </t>
    </r>
    <r>
      <rPr>
        <i/>
        <sz val="11"/>
        <rFont val="Franklin Gothic Book"/>
        <family val="2"/>
      </rPr>
      <t>N</t>
    </r>
  </si>
  <si>
    <r>
      <t>Pour information : Solde CRCP prévisionnel au 1</t>
    </r>
    <r>
      <rPr>
        <i/>
        <vertAlign val="superscript"/>
        <sz val="11"/>
        <color theme="1"/>
        <rFont val="Franklin Gothic Book"/>
        <family val="2"/>
      </rPr>
      <t>er</t>
    </r>
    <r>
      <rPr>
        <i/>
        <sz val="11"/>
        <color theme="1"/>
        <rFont val="Franklin Gothic Book"/>
        <family val="2"/>
      </rPr>
      <t xml:space="preserve"> août N+1</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</si>
  <si>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</si>
  <si>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t xml:space="preserve">Evolution à inflation réalisée et k </t>
    </r>
    <r>
      <rPr>
        <sz val="11"/>
        <rFont val="Franklin Gothic Book"/>
        <family val="2"/>
      </rPr>
      <t xml:space="preserve">= 0 </t>
    </r>
    <r>
      <rPr>
        <i/>
        <sz val="11"/>
        <rFont val="Franklin Gothic Book"/>
        <family val="2"/>
      </rPr>
      <t>(IPC+X)</t>
    </r>
    <r>
      <rPr>
        <sz val="11"/>
        <rFont val="Franklin Gothic Book"/>
        <family val="2"/>
      </rPr>
      <t xml:space="preserve"> au 1</t>
    </r>
    <r>
      <rPr>
        <vertAlign val="superscript"/>
        <sz val="11"/>
        <rFont val="Franklin Gothic Book"/>
        <family val="2"/>
      </rPr>
      <t>er</t>
    </r>
    <r>
      <rPr>
        <sz val="11"/>
        <rFont val="Franklin Gothic Book"/>
        <family val="2"/>
      </rPr>
      <t xml:space="preserve"> août </t>
    </r>
    <r>
      <rPr>
        <i/>
        <sz val="11"/>
        <rFont val="Franklin Gothic Book"/>
        <family val="2"/>
      </rPr>
      <t>N</t>
    </r>
  </si>
  <si>
    <r>
      <t>Cumul IPC+X (à k = 0)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</si>
  <si>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t xml:space="preserve">Evolution à inflation prévisionnelle et k </t>
    </r>
    <r>
      <rPr>
        <sz val="11"/>
        <rFont val="Franklin Gothic Book"/>
        <family val="2"/>
      </rPr>
      <t xml:space="preserve">= 0 </t>
    </r>
    <r>
      <rPr>
        <i/>
        <sz val="11"/>
        <rFont val="Franklin Gothic Book"/>
        <family val="2"/>
      </rPr>
      <t>(IPC+X)</t>
    </r>
    <r>
      <rPr>
        <sz val="11"/>
        <rFont val="Franklin Gothic Book"/>
        <family val="2"/>
      </rPr>
      <t xml:space="preserve"> au 1</t>
    </r>
    <r>
      <rPr>
        <vertAlign val="superscript"/>
        <sz val="11"/>
        <rFont val="Franklin Gothic Book"/>
        <family val="2"/>
      </rPr>
      <t>er</t>
    </r>
    <r>
      <rPr>
        <sz val="11"/>
        <rFont val="Franklin Gothic Book"/>
        <family val="2"/>
      </rPr>
      <t xml:space="preserve"> août </t>
    </r>
    <r>
      <rPr>
        <i/>
        <sz val="11"/>
        <rFont val="Franklin Gothic Book"/>
        <family val="2"/>
      </rPr>
      <t>N</t>
    </r>
  </si>
  <si>
    <r>
      <t>k permettant d'apurer le solde prévisionnel du CRCP au 1</t>
    </r>
    <r>
      <rPr>
        <vertAlign val="superscript"/>
        <sz val="11"/>
        <color theme="1"/>
        <rFont val="Franklin Gothic Book"/>
        <family val="2"/>
      </rPr>
      <t>er</t>
    </r>
    <r>
      <rPr>
        <sz val="11"/>
        <color theme="1"/>
        <rFont val="Franklin Gothic Book"/>
        <family val="2"/>
      </rPr>
      <t xml:space="preserve"> août N</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</si>
  <si>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2022 (utilisée pour la MAJ grille soutirage)</t>
    </r>
  </si>
  <si>
    <t>Valeurs de référence (§5.2.2.2 de la délibération TURPE 6) des coefficients (hors Rf et CCARD) non arrondies résultants de l'indexation annuelle</t>
  </si>
  <si>
    <t>Valeurs brutes (hors Rf et CCARD) non arrondies résultants de l'indexation annuelle</t>
  </si>
  <si>
    <t>Tableau 39 bis : Composante supplémentaire au titre du traitement tarifaire de la relève résiduelle</t>
  </si>
  <si>
    <t>tous les 2 mois</t>
  </si>
  <si>
    <t>Valeurs arrondis à 12cts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</si>
</sst>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0.0%"/>
    <numFmt numFmtId="166" formatCode="0.000"/>
    <numFmt numFmtId="167" formatCode="#,##0.0"/>
    <numFmt numFmtId="168" formatCode="0.00__%"/>
    <numFmt numFmtId="169" formatCode="0.0000"/>
    <numFmt numFmtId="170" formatCode="0.0"/>
    <numFmt numFmtId="171" formatCode="#,##0.0000"/>
    <numFmt numFmtId="172" formatCode="0.0000%"/>
    <numFmt numFmtId="173" formatCode="_-* #,##0.0\ _€_-;\-* #,##0.0\ _€_-;_-* &quot;-&quot;??\ _€_-;_-@_-"/>
    <numFmt numFmtId="174" formatCode="[&gt;0]\+\ #,##0.0;[&lt;0]\-\ #,##0.0;\-"/>
    <numFmt numFmtId="175" formatCode="0.000%"/>
    <numFmt numFmtId="176" formatCode="0.00000%"/>
    <numFmt numFmtId="177" formatCode="[&gt;0]\+\ #,##0.00%;[&lt;0]\-\ #,##0.00%;\-"/>
    <numFmt numFmtId="178" formatCode="0.000000"/>
    <numFmt numFmtId="179" formatCode="#,##0_ ;\-#,##0\ "/>
    <numFmt numFmtId="180" formatCode="#,##0.00_ ;\-#,##0.00\ "/>
  </numFmts>
  <fonts count="96" x14ac:knownFonts="1">
    <font>
      <sz val="11"/>
      <color theme="1"/>
      <name val="Calibri"/>
      <family val="2"/>
      <scheme val="minor"/>
    </font>
    <font>
      <sz val="11"/>
      <color theme="1"/>
      <name val="Calibri"/>
      <family val="2"/>
      <scheme val="minor"/>
    </font>
    <font>
      <sz val="18"/>
      <color rgb="FF429188"/>
      <name val="Franklin Gothic Book"/>
      <family val="2"/>
    </font>
    <font>
      <b/>
      <sz val="16"/>
      <color rgb="FF000000"/>
      <name val="Franklin Gothic Book"/>
      <family val="2"/>
    </font>
    <font>
      <b/>
      <sz val="14"/>
      <color rgb="FF000000"/>
      <name val="Franklin Gothic Book"/>
      <family val="2"/>
    </font>
    <font>
      <b/>
      <sz val="11"/>
      <color rgb="FF000000"/>
      <name val="Franklin Gothic Book"/>
      <family val="2"/>
    </font>
    <font>
      <sz val="11"/>
      <color rgb="FF000000"/>
      <name val="Franklin Gothic Book"/>
      <family val="2"/>
    </font>
    <font>
      <sz val="10"/>
      <color rgb="FFFFFFFF"/>
      <name val="Franklin Gothic Book"/>
      <family val="2"/>
    </font>
    <font>
      <b/>
      <sz val="12"/>
      <color rgb="FFFFFFFF"/>
      <name val="Franklin Gothic Book"/>
      <family val="2"/>
    </font>
    <font>
      <sz val="10"/>
      <color theme="1"/>
      <name val="Franklin Gothic Book"/>
      <family val="2"/>
    </font>
    <font>
      <sz val="11"/>
      <color theme="0"/>
      <name val="Franklin Gothic Book"/>
      <family val="2"/>
    </font>
    <font>
      <sz val="11"/>
      <name val="Franklin Gothic Book"/>
      <family val="2"/>
    </font>
    <font>
      <b/>
      <sz val="11"/>
      <name val="Franklin Gothic Book"/>
      <family val="2"/>
    </font>
    <font>
      <b/>
      <sz val="10"/>
      <color theme="1"/>
      <name val="Franklin Gothic Book"/>
      <family val="2"/>
    </font>
    <font>
      <sz val="11"/>
      <color theme="1"/>
      <name val="Franklin Gothic Book"/>
      <family val="2"/>
    </font>
    <font>
      <i/>
      <sz val="11"/>
      <name val="Franklin Gothic Book"/>
      <family val="2"/>
    </font>
    <font>
      <b/>
      <sz val="10"/>
      <color rgb="FFC00000"/>
      <name val="Franklin Gothic Book"/>
      <family val="2"/>
    </font>
    <font>
      <sz val="11"/>
      <color rgb="FFFFFFFF"/>
      <name val="Franklin Gothic Book"/>
      <family val="2"/>
    </font>
    <font>
      <sz val="10"/>
      <name val="Franklin Gothic Book"/>
      <family val="2"/>
    </font>
    <font>
      <b/>
      <i/>
      <sz val="11"/>
      <name val="Franklin Gothic Book"/>
      <family val="2"/>
    </font>
    <font>
      <b/>
      <sz val="10"/>
      <name val="Arial"/>
      <family val="2"/>
    </font>
    <font>
      <i/>
      <sz val="11"/>
      <color theme="1"/>
      <name val="Franklin Gothic Book"/>
      <family val="2"/>
    </font>
    <font>
      <vertAlign val="superscript"/>
      <sz val="11"/>
      <name val="Franklin Gothic Book"/>
      <family val="2"/>
    </font>
    <font>
      <vertAlign val="superscript"/>
      <sz val="11"/>
      <color theme="1"/>
      <name val="Franklin Gothic Book"/>
      <family val="2"/>
    </font>
    <font>
      <b/>
      <sz val="10"/>
      <color rgb="FFFF0000"/>
      <name val="Franklin Gothic Book"/>
      <family val="2"/>
    </font>
    <font>
      <sz val="12"/>
      <color rgb="FFFFFFFF"/>
      <name val="Franklin Gothic Book"/>
      <family val="2"/>
    </font>
    <font>
      <b/>
      <i/>
      <sz val="10"/>
      <name val="Franklin Gothic Book"/>
      <family val="2"/>
    </font>
    <font>
      <b/>
      <sz val="10"/>
      <name val="Franklin Gothic Book"/>
      <family val="2"/>
    </font>
    <font>
      <b/>
      <sz val="10"/>
      <color rgb="FFFFFFFF"/>
      <name val="Franklin Gothic Book"/>
      <family val="2"/>
    </font>
    <font>
      <sz val="10"/>
      <color rgb="FF000000"/>
      <name val="Franklin Gothic Book"/>
      <family val="2"/>
    </font>
    <font>
      <i/>
      <sz val="10"/>
      <color theme="4"/>
      <name val="Franklin Gothic Book"/>
      <family val="2"/>
    </font>
    <font>
      <sz val="10"/>
      <color theme="1"/>
      <name val="Symbol"/>
      <family val="1"/>
      <charset val="2"/>
    </font>
    <font>
      <b/>
      <sz val="10"/>
      <color rgb="FF000000"/>
      <name val="Franklin Gothic Book"/>
      <family val="2"/>
    </font>
    <font>
      <i/>
      <sz val="10"/>
      <color theme="1" tint="0.499984740745262"/>
      <name val="Franklin Gothic Book"/>
      <family val="2"/>
    </font>
    <font>
      <i/>
      <sz val="10"/>
      <color theme="1"/>
      <name val="Franklin Gothic Book"/>
      <family val="2"/>
    </font>
    <font>
      <i/>
      <sz val="10"/>
      <name val="Franklin Gothic Book"/>
      <family val="2"/>
    </font>
    <font>
      <b/>
      <i/>
      <sz val="10"/>
      <color theme="1"/>
      <name val="Franklin Gothic Book"/>
      <family val="2"/>
    </font>
    <font>
      <sz val="18"/>
      <color theme="1"/>
      <name val="Franklin Gothic Book"/>
      <family val="2"/>
    </font>
    <font>
      <sz val="20"/>
      <color rgb="FFFFFFFF"/>
      <name val="Franklin Gothic Book"/>
      <family val="2"/>
    </font>
    <font>
      <b/>
      <sz val="11"/>
      <color theme="3"/>
      <name val="Franklin Gothic Book"/>
      <family val="2"/>
    </font>
    <font>
      <i/>
      <sz val="11"/>
      <color rgb="FFFF0000"/>
      <name val="Franklin Gothic Book"/>
      <family val="2"/>
    </font>
    <font>
      <b/>
      <sz val="11"/>
      <color rgb="FFFFFFFF"/>
      <name val="Franklin Gothic Book"/>
      <family val="2"/>
    </font>
    <font>
      <b/>
      <sz val="11"/>
      <color rgb="FF7030A0"/>
      <name val="Franklin Gothic Book"/>
      <family val="2"/>
    </font>
    <font>
      <i/>
      <sz val="11"/>
      <color rgb="FFC00000"/>
      <name val="Franklin Gothic Book"/>
      <family val="2"/>
    </font>
    <font>
      <sz val="10"/>
      <color theme="0" tint="-0.34998626667073579"/>
      <name val="Franklin Gothic Book"/>
      <family val="2"/>
    </font>
    <font>
      <i/>
      <sz val="10"/>
      <color theme="0" tint="-0.34998626667073579"/>
      <name val="Franklin Gothic Book"/>
      <family val="2"/>
    </font>
    <font>
      <sz val="20"/>
      <color theme="0"/>
      <name val="Franklin Gothic Book"/>
      <family val="2"/>
    </font>
    <font>
      <u/>
      <sz val="11"/>
      <color theme="10"/>
      <name val="Calibri"/>
      <family val="2"/>
      <scheme val="minor"/>
    </font>
    <font>
      <b/>
      <i/>
      <sz val="10"/>
      <color rgb="FF00B050"/>
      <name val="Franklin Gothic Book"/>
      <family val="2"/>
    </font>
    <font>
      <i/>
      <sz val="10"/>
      <color theme="1" tint="0.249977111117893"/>
      <name val="Franklin Gothic Book"/>
      <family val="2"/>
    </font>
    <font>
      <b/>
      <u/>
      <sz val="10"/>
      <name val="Franklin Gothic Book"/>
      <family val="2"/>
    </font>
    <font>
      <u/>
      <sz val="10"/>
      <color theme="10"/>
      <name val="Franklin Gothic Book"/>
      <family val="2"/>
    </font>
    <font>
      <b/>
      <i/>
      <sz val="10"/>
      <color rgb="FF0070C0"/>
      <name val="Franklin Gothic Book"/>
      <family val="2"/>
    </font>
    <font>
      <i/>
      <sz val="10"/>
      <color rgb="FF0070C0"/>
      <name val="Franklin Gothic Book"/>
      <family val="2"/>
    </font>
    <font>
      <b/>
      <sz val="18"/>
      <color rgb="FF525457"/>
      <name val="Franklin Gothic Book"/>
      <family val="2"/>
    </font>
    <font>
      <sz val="8"/>
      <color indexed="81"/>
      <name val="Tahoma"/>
      <family val="2"/>
    </font>
    <font>
      <b/>
      <sz val="12"/>
      <color theme="1"/>
      <name val="Franklin Gothic Book"/>
      <family val="2"/>
    </font>
    <font>
      <b/>
      <sz val="11"/>
      <color theme="1"/>
      <name val="Franklin Gothic Book"/>
      <family val="2"/>
    </font>
    <font>
      <i/>
      <sz val="11"/>
      <color theme="4"/>
      <name val="Franklin Gothic Book"/>
      <family val="2"/>
    </font>
    <font>
      <sz val="11"/>
      <color theme="4"/>
      <name val="Franklin Gothic Book"/>
      <family val="2"/>
    </font>
    <font>
      <b/>
      <i/>
      <sz val="10"/>
      <color rgb="FFC00000"/>
      <name val="Franklin Gothic Book"/>
      <family val="2"/>
    </font>
    <font>
      <sz val="12"/>
      <color theme="1"/>
      <name val="Franklin Gothic Book"/>
      <family val="2"/>
    </font>
    <font>
      <b/>
      <sz val="12"/>
      <name val="Franklin Gothic Book"/>
      <family val="2"/>
    </font>
    <font>
      <i/>
      <sz val="11"/>
      <color theme="3"/>
      <name val="Franklin Gothic Book"/>
      <family val="2"/>
    </font>
    <font>
      <i/>
      <sz val="11"/>
      <color theme="0" tint="-0.499984740745262"/>
      <name val="Franklin Gothic Book"/>
      <family val="2"/>
    </font>
    <font>
      <i/>
      <sz val="20"/>
      <color rgb="FFFFFFFF"/>
      <name val="Franklin Gothic Book"/>
      <family val="2"/>
    </font>
    <font>
      <sz val="12"/>
      <color theme="0"/>
      <name val="Franklin Gothic Book"/>
      <family val="2"/>
    </font>
    <font>
      <i/>
      <sz val="12"/>
      <color theme="0"/>
      <name val="Franklin Gothic Book"/>
      <family val="2"/>
    </font>
    <font>
      <sz val="12"/>
      <name val="Franklin Gothic Book"/>
      <family val="2"/>
    </font>
    <font>
      <b/>
      <u/>
      <sz val="11"/>
      <name val="Franklin Gothic Book"/>
      <family val="2"/>
    </font>
    <font>
      <b/>
      <i/>
      <sz val="11"/>
      <color theme="3"/>
      <name val="Franklin Gothic Book"/>
      <family val="2"/>
    </font>
    <font>
      <sz val="11"/>
      <color theme="3"/>
      <name val="Franklin Gothic Book"/>
      <family val="2"/>
    </font>
    <font>
      <sz val="18"/>
      <name val="Franklin Gothic Book"/>
      <family val="2"/>
    </font>
    <font>
      <b/>
      <sz val="11"/>
      <color rgb="FFC00000"/>
      <name val="Franklin Gothic Book"/>
      <family val="2"/>
    </font>
    <font>
      <b/>
      <i/>
      <sz val="11"/>
      <color rgb="FFC00000"/>
      <name val="Franklin Gothic Book"/>
      <family val="2"/>
    </font>
    <font>
      <sz val="11"/>
      <color rgb="FFC00000"/>
      <name val="Franklin Gothic Book"/>
      <family val="2"/>
    </font>
    <font>
      <b/>
      <vertAlign val="superscript"/>
      <sz val="11"/>
      <color rgb="FFC00000"/>
      <name val="Franklin Gothic Book"/>
      <family val="2"/>
    </font>
    <font>
      <sz val="11"/>
      <color rgb="FFFF0000"/>
      <name val="Franklin Gothic Book"/>
      <family val="2"/>
    </font>
    <font>
      <i/>
      <vertAlign val="superscript"/>
      <sz val="11"/>
      <color theme="1"/>
      <name val="Franklin Gothic Book"/>
      <family val="2"/>
    </font>
    <font>
      <i/>
      <vertAlign val="superscript"/>
      <sz val="10"/>
      <color theme="1" tint="0.499984740745262"/>
      <name val="Franklin Gothic Book"/>
      <family val="2"/>
    </font>
    <font>
      <i/>
      <sz val="11"/>
      <color theme="1" tint="0.499984740745262"/>
      <name val="Franklin Gothic Book"/>
      <family val="2"/>
    </font>
    <font>
      <sz val="11"/>
      <color rgb="FF429188"/>
      <name val="Franklin Gothic Book"/>
      <family val="2"/>
    </font>
    <font>
      <b/>
      <sz val="11"/>
      <color theme="0"/>
      <name val="Franklin Gothic Book"/>
      <family val="2"/>
    </font>
    <font>
      <b/>
      <sz val="9"/>
      <color rgb="FFC00000"/>
      <name val="Franklin Gothic Book"/>
      <family val="2"/>
    </font>
    <font>
      <sz val="9"/>
      <color theme="1"/>
      <name val="Franklin Gothic Book"/>
      <family val="2"/>
    </font>
    <font>
      <b/>
      <sz val="9"/>
      <color theme="0"/>
      <name val="Franklin Gothic Book"/>
      <family val="2"/>
    </font>
    <font>
      <sz val="11"/>
      <color theme="6" tint="-0.249977111117893"/>
      <name val="Franklin Gothic Book"/>
      <family val="2"/>
    </font>
    <font>
      <sz val="9.35"/>
      <color theme="1"/>
      <name val="Franklin Gothic Book"/>
      <family val="2"/>
    </font>
    <font>
      <sz val="11"/>
      <color theme="0"/>
      <name val="Calibri"/>
      <family val="2"/>
      <scheme val="minor"/>
    </font>
    <font>
      <b/>
      <sz val="11"/>
      <color rgb="FFFF0000"/>
      <name val="Calibri"/>
      <family val="2"/>
      <scheme val="minor"/>
    </font>
    <font>
      <b/>
      <sz val="11"/>
      <color rgb="FFC00000"/>
      <name val="Calibri"/>
      <family val="2"/>
      <scheme val="minor"/>
    </font>
    <font>
      <sz val="18"/>
      <color rgb="FF009AAA"/>
      <name val="Franklin Gothic Book"/>
      <family val="2"/>
    </font>
    <font>
      <sz val="9"/>
      <color indexed="81"/>
      <name val="Tahoma"/>
      <family val="2"/>
    </font>
    <font>
      <b/>
      <sz val="9"/>
      <color indexed="81"/>
      <name val="Tahoma"/>
      <family val="2"/>
    </font>
    <font>
      <sz val="8"/>
      <name val="Calibri"/>
      <family val="2"/>
      <scheme val="minor"/>
    </font>
    <font>
      <sz val="11"/>
      <color indexed="8"/>
      <name val="Calibri"/>
      <family val="2"/>
      <scheme val="minor"/>
    </font>
  </fonts>
  <fills count="32">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9AAA"/>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indexed="65"/>
        <bgColor theme="9"/>
      </patternFill>
    </fill>
    <fill>
      <patternFill patternType="solid">
        <fgColor rgb="FF009AAA"/>
        <bgColor theme="9"/>
      </patternFill>
    </fill>
    <fill>
      <patternFill patternType="solid">
        <fgColor auto="1"/>
        <bgColor theme="9"/>
      </patternFill>
    </fill>
    <fill>
      <patternFill patternType="solid">
        <fgColor theme="9" tint="0.59999389629810485"/>
        <bgColor indexed="64"/>
      </patternFill>
    </fill>
    <fill>
      <patternFill patternType="solid">
        <fgColor theme="9" tint="0.79998168889431442"/>
        <bgColor indexed="64"/>
      </patternFill>
    </fill>
    <fill>
      <patternFill patternType="solid">
        <fgColor rgb="FF7FCCD4"/>
        <bgColor indexed="64"/>
      </patternFill>
    </fill>
    <fill>
      <patternFill patternType="solid">
        <fgColor rgb="FF7FCCD4"/>
        <bgColor theme="9"/>
      </patternFill>
    </fill>
    <fill>
      <patternFill patternType="solid">
        <fgColor theme="0" tint="-0.249977111117893"/>
        <bgColor theme="9"/>
      </patternFill>
    </fill>
    <fill>
      <patternFill patternType="solid">
        <fgColor rgb="FFDAC2EC"/>
        <bgColor indexed="64"/>
      </patternFill>
    </fill>
    <fill>
      <patternFill patternType="solid">
        <fgColor rgb="FFDAC2EC"/>
        <bgColor theme="9"/>
      </patternFill>
    </fill>
    <fill>
      <patternFill patternType="solid">
        <fgColor theme="8"/>
        <bgColor indexed="64"/>
      </patternFill>
    </fill>
    <fill>
      <patternFill patternType="solid">
        <fgColor theme="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CCEBEE"/>
        <bgColor indexed="64"/>
      </patternFill>
    </fill>
    <fill>
      <patternFill patternType="solid">
        <fgColor theme="0" tint="-0.249977111117893"/>
        <bgColor indexed="64"/>
      </patternFill>
    </fill>
    <fill>
      <patternFill patternType="solid">
        <fgColor theme="5"/>
        <bgColor indexed="64"/>
      </patternFill>
    </fill>
    <fill>
      <patternFill patternType="solid">
        <fgColor theme="7"/>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79">
    <border>
      <left/>
      <right/>
      <top/>
      <bottom/>
      <diagonal/>
    </border>
    <border>
      <left/>
      <right style="medium">
        <color rgb="FFFFFFFF"/>
      </right>
      <top style="medium">
        <color rgb="FFFFFFFF"/>
      </top>
      <bottom/>
      <diagonal/>
    </border>
    <border>
      <left style="medium">
        <color rgb="FF009AAA"/>
      </left>
      <right style="medium">
        <color rgb="FF009AAA"/>
      </right>
      <top/>
      <bottom style="medium">
        <color rgb="FF009AAA"/>
      </bottom>
      <diagonal/>
    </border>
    <border>
      <left style="medium">
        <color rgb="FF009AAA"/>
      </left>
      <right style="medium">
        <color rgb="FF009AAA"/>
      </right>
      <top style="medium">
        <color rgb="FF009AAA"/>
      </top>
      <bottom style="medium">
        <color rgb="FF009AAA"/>
      </bottom>
      <diagonal/>
    </border>
    <border>
      <left/>
      <right style="medium">
        <color rgb="FF009AAA"/>
      </right>
      <top style="medium">
        <color rgb="FF009AAA"/>
      </top>
      <bottom style="medium">
        <color rgb="FF009AAA"/>
      </bottom>
      <diagonal/>
    </border>
    <border>
      <left style="medium">
        <color rgb="FFFFFFFF"/>
      </left>
      <right style="medium">
        <color rgb="FFFFFFFF"/>
      </right>
      <top style="medium">
        <color rgb="FFFFFFFF"/>
      </top>
      <bottom/>
      <diagonal/>
    </border>
    <border>
      <left style="medium">
        <color rgb="FF009AAA"/>
      </left>
      <right style="medium">
        <color rgb="FF009AAA"/>
      </right>
      <top/>
      <bottom/>
      <diagonal/>
    </border>
    <border>
      <left style="medium">
        <color rgb="FF009AAA"/>
      </left>
      <right style="medium">
        <color rgb="FF009AAA"/>
      </right>
      <top style="medium">
        <color rgb="FF009AAA"/>
      </top>
      <bottom/>
      <diagonal/>
    </border>
    <border>
      <left style="medium">
        <color rgb="FFFFFFFF"/>
      </left>
      <right/>
      <top/>
      <bottom/>
      <diagonal/>
    </border>
    <border>
      <left style="medium">
        <color rgb="FFFFFFFF"/>
      </left>
      <right style="medium">
        <color rgb="FFFFFFFF"/>
      </right>
      <top/>
      <bottom/>
      <diagonal/>
    </border>
    <border>
      <left style="medium">
        <color rgb="FF009AAA"/>
      </left>
      <right/>
      <top style="medium">
        <color rgb="FF009AAA"/>
      </top>
      <bottom style="medium">
        <color rgb="FF009AAA"/>
      </bottom>
      <diagonal/>
    </border>
    <border>
      <left/>
      <right/>
      <top style="medium">
        <color rgb="FF009AAA"/>
      </top>
      <bottom style="medium">
        <color rgb="FF009AAA"/>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diagonal/>
    </border>
    <border>
      <left/>
      <right style="medium">
        <color rgb="FF009AAA"/>
      </right>
      <top/>
      <bottom/>
      <diagonal/>
    </border>
    <border>
      <left/>
      <right style="medium">
        <color rgb="FF009AAA"/>
      </right>
      <top style="medium">
        <color rgb="FF009AAA"/>
      </top>
      <bottom/>
      <diagonal/>
    </border>
    <border>
      <left/>
      <right style="medium">
        <color rgb="FF009AAA"/>
      </right>
      <top/>
      <bottom style="medium">
        <color rgb="FF009AAA"/>
      </bottom>
      <diagonal/>
    </border>
    <border>
      <left/>
      <right/>
      <top/>
      <bottom style="medium">
        <color rgb="FF009AAA"/>
      </bottom>
      <diagonal/>
    </border>
    <border>
      <left style="medium">
        <color rgb="FFFFFFFF"/>
      </left>
      <right style="medium">
        <color rgb="FF009AAA"/>
      </right>
      <top style="medium">
        <color rgb="FFFFFFFF"/>
      </top>
      <bottom style="medium">
        <color rgb="FFFFFFFF"/>
      </bottom>
      <diagonal/>
    </border>
    <border>
      <left style="medium">
        <color rgb="FF009AAA"/>
      </left>
      <right/>
      <top/>
      <bottom style="medium">
        <color rgb="FF009AAA"/>
      </bottom>
      <diagonal/>
    </border>
    <border>
      <left style="thin">
        <color indexed="64"/>
      </left>
      <right/>
      <top/>
      <bottom/>
      <diagonal/>
    </border>
    <border>
      <left style="medium">
        <color rgb="FF009AAA"/>
      </left>
      <right/>
      <top/>
      <bottom/>
      <diagonal/>
    </border>
    <border>
      <left/>
      <right style="medium">
        <color theme="0"/>
      </right>
      <top/>
      <bottom/>
      <diagonal/>
    </border>
    <border>
      <left style="medium">
        <color theme="0"/>
      </left>
      <right/>
      <top/>
      <bottom/>
      <diagonal/>
    </border>
    <border>
      <left style="medium">
        <color theme="0"/>
      </left>
      <right style="medium">
        <color theme="0"/>
      </right>
      <top/>
      <bottom/>
      <diagonal/>
    </border>
    <border>
      <left style="medium">
        <color indexed="64"/>
      </left>
      <right style="medium">
        <color indexed="64"/>
      </right>
      <top style="medium">
        <color indexed="64"/>
      </top>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theme="0"/>
      </right>
      <top/>
      <bottom/>
      <diagonal/>
    </border>
    <border>
      <left style="medium">
        <color theme="0"/>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bottom/>
      <diagonal/>
    </border>
    <border>
      <left/>
      <right style="medium">
        <color theme="8"/>
      </right>
      <top/>
      <bottom/>
      <diagonal/>
    </border>
    <border>
      <left style="medium">
        <color theme="8"/>
      </left>
      <right style="medium">
        <color rgb="FFFFFFFF"/>
      </right>
      <top style="medium">
        <color theme="8"/>
      </top>
      <bottom style="medium">
        <color theme="0"/>
      </bottom>
      <diagonal/>
    </border>
    <border>
      <left style="medium">
        <color rgb="FFFFFFFF"/>
      </left>
      <right style="medium">
        <color rgb="FFFFFFFF"/>
      </right>
      <top style="medium">
        <color theme="8"/>
      </top>
      <bottom style="medium">
        <color rgb="FFFFFFFF"/>
      </bottom>
      <diagonal/>
    </border>
    <border>
      <left style="medium">
        <color theme="8"/>
      </left>
      <right style="medium">
        <color rgb="FFFFFFFF"/>
      </right>
      <top style="medium">
        <color theme="8"/>
      </top>
      <bottom/>
      <diagonal/>
    </border>
    <border>
      <left style="medium">
        <color theme="8"/>
      </left>
      <right/>
      <top style="medium">
        <color theme="8"/>
      </top>
      <bottom/>
      <diagonal/>
    </border>
    <border>
      <left style="medium">
        <color theme="8"/>
      </left>
      <right style="medium">
        <color theme="8"/>
      </right>
      <top style="medium">
        <color theme="8"/>
      </top>
      <bottom style="medium">
        <color theme="8"/>
      </bottom>
      <diagonal/>
    </border>
    <border>
      <left style="medium">
        <color theme="8"/>
      </left>
      <right/>
      <top style="medium">
        <color theme="8"/>
      </top>
      <bottom style="medium">
        <color theme="8"/>
      </bottom>
      <diagonal/>
    </border>
    <border>
      <left style="medium">
        <color rgb="FFFFFFFF"/>
      </left>
      <right style="medium">
        <color rgb="FFFFFFFF"/>
      </right>
      <top style="medium">
        <color theme="8"/>
      </top>
      <bottom/>
      <diagonal/>
    </border>
    <border>
      <left style="medium">
        <color rgb="FFFFFFFF"/>
      </left>
      <right style="medium">
        <color theme="8"/>
      </right>
      <top style="medium">
        <color theme="8"/>
      </top>
      <bottom/>
      <diagonal/>
    </border>
    <border>
      <left style="medium">
        <color rgb="FFFFFFFF"/>
      </left>
      <right/>
      <top style="medium">
        <color theme="8"/>
      </top>
      <bottom/>
      <diagonal/>
    </border>
    <border>
      <left style="medium">
        <color rgb="FFFFFFFF"/>
      </left>
      <right style="medium">
        <color rgb="FF009AAA"/>
      </right>
      <top style="medium">
        <color theme="8"/>
      </top>
      <bottom style="medium">
        <color rgb="FF009AAA"/>
      </bottom>
      <diagonal/>
    </border>
    <border>
      <left style="medium">
        <color rgb="FFFFFFFF"/>
      </left>
      <right style="medium">
        <color rgb="FF009AAA"/>
      </right>
      <top/>
      <bottom/>
      <diagonal/>
    </border>
    <border>
      <left style="medium">
        <color rgb="FF009AAA"/>
      </left>
      <right style="medium">
        <color rgb="FFFFFFFF"/>
      </right>
      <top/>
      <bottom/>
      <diagonal/>
    </border>
    <border>
      <left style="medium">
        <color rgb="FF009AAA"/>
      </left>
      <right style="medium">
        <color theme="0"/>
      </right>
      <top/>
      <bottom/>
      <diagonal/>
    </border>
    <border>
      <left style="medium">
        <color theme="0"/>
      </left>
      <right style="medium">
        <color rgb="FF009AAA"/>
      </right>
      <top/>
      <bottom/>
      <diagonal/>
    </border>
    <border>
      <left/>
      <right style="medium">
        <color rgb="FF009AAA"/>
      </right>
      <top style="medium">
        <color theme="8"/>
      </top>
      <bottom/>
      <diagonal/>
    </border>
    <border>
      <left style="medium">
        <color theme="8"/>
      </left>
      <right/>
      <top style="medium">
        <color theme="8"/>
      </top>
      <bottom style="medium">
        <color rgb="FF009AAA"/>
      </bottom>
      <diagonal/>
    </border>
    <border>
      <left/>
      <right/>
      <top style="medium">
        <color theme="8"/>
      </top>
      <bottom style="medium">
        <color rgb="FF009AAA"/>
      </bottom>
      <diagonal/>
    </border>
    <border>
      <left style="medium">
        <color rgb="FF009AAA"/>
      </left>
      <right style="medium">
        <color theme="0"/>
      </right>
      <top style="medium">
        <color rgb="FF009AAA"/>
      </top>
      <bottom style="medium">
        <color rgb="FF009AAA"/>
      </bottom>
      <diagonal/>
    </border>
    <border>
      <left style="medium">
        <color theme="0"/>
      </left>
      <right style="medium">
        <color theme="0"/>
      </right>
      <top style="medium">
        <color rgb="FF009AAA"/>
      </top>
      <bottom style="medium">
        <color rgb="FF009AAA"/>
      </bottom>
      <diagonal/>
    </border>
    <border>
      <left style="medium">
        <color theme="0"/>
      </left>
      <right style="medium">
        <color rgb="FF009AAA"/>
      </right>
      <top style="medium">
        <color rgb="FF009AAA"/>
      </top>
      <bottom style="medium">
        <color rgb="FF009AAA"/>
      </bottom>
      <diagonal/>
    </border>
    <border>
      <left style="medium">
        <color theme="5"/>
      </left>
      <right style="medium">
        <color rgb="FFFFFFFF"/>
      </right>
      <top style="medium">
        <color theme="5"/>
      </top>
      <bottom/>
      <diagonal/>
    </border>
    <border>
      <left style="medium">
        <color rgb="FFFFFFFF"/>
      </left>
      <right style="medium">
        <color rgb="FFFFFFFF"/>
      </right>
      <top style="medium">
        <color theme="5"/>
      </top>
      <bottom/>
      <diagonal/>
    </border>
    <border>
      <left/>
      <right style="medium">
        <color rgb="FFFFFFFF"/>
      </right>
      <top style="medium">
        <color theme="5"/>
      </top>
      <bottom/>
      <diagonal/>
    </border>
    <border>
      <left/>
      <right style="medium">
        <color theme="5"/>
      </right>
      <top style="medium">
        <color theme="5"/>
      </top>
      <bottom/>
      <diagonal/>
    </border>
    <border>
      <left style="medium">
        <color theme="5"/>
      </left>
      <right style="medium">
        <color theme="5"/>
      </right>
      <top style="medium">
        <color theme="5"/>
      </top>
      <bottom style="medium">
        <color theme="5"/>
      </bottom>
      <diagonal/>
    </border>
    <border>
      <left style="medium">
        <color theme="5"/>
      </left>
      <right style="medium">
        <color rgb="FFFFFFFF"/>
      </right>
      <top style="medium">
        <color theme="5"/>
      </top>
      <bottom style="medium">
        <color theme="5"/>
      </bottom>
      <diagonal/>
    </border>
    <border>
      <left/>
      <right style="medium">
        <color rgb="FFFFFFFF"/>
      </right>
      <top style="medium">
        <color theme="5"/>
      </top>
      <bottom style="medium">
        <color theme="5"/>
      </bottom>
      <diagonal/>
    </border>
    <border>
      <left/>
      <right style="medium">
        <color theme="5"/>
      </right>
      <top style="medium">
        <color theme="5"/>
      </top>
      <bottom style="medium">
        <color theme="5"/>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7"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5" fillId="0" borderId="0"/>
  </cellStyleXfs>
  <cellXfs count="497">
    <xf numFmtId="0" fontId="0" fillId="0" borderId="0" xfId="0"/>
    <xf numFmtId="0" fontId="2" fillId="0" borderId="0" xfId="0" applyFont="1" applyAlignment="1">
      <alignment vertical="center"/>
    </xf>
    <xf numFmtId="0" fontId="18" fillId="6" borderId="0" xfId="0" applyFont="1" applyFill="1" applyAlignment="1">
      <alignment vertical="center"/>
    </xf>
    <xf numFmtId="0" fontId="18" fillId="6" borderId="0" xfId="0" applyFont="1" applyFill="1"/>
    <xf numFmtId="0" fontId="25" fillId="8" borderId="1" xfId="3" applyFont="1" applyFill="1" applyBorder="1" applyAlignment="1">
      <alignment horizontal="center" vertical="center" wrapText="1"/>
    </xf>
    <xf numFmtId="0" fontId="9" fillId="0" borderId="2" xfId="3" applyFont="1" applyBorder="1" applyAlignment="1">
      <alignment horizontal="center" vertical="center" wrapText="1"/>
    </xf>
    <xf numFmtId="0" fontId="14" fillId="0" borderId="0" xfId="0" applyFont="1"/>
    <xf numFmtId="43" fontId="0" fillId="0" borderId="0" xfId="1" applyFont="1" applyFill="1" applyAlignment="1">
      <alignment horizontal="center"/>
    </xf>
    <xf numFmtId="43" fontId="0" fillId="0" borderId="0" xfId="1" applyFont="1" applyFill="1"/>
    <xf numFmtId="10" fontId="0" fillId="0" borderId="0" xfId="2" applyNumberFormat="1" applyFont="1" applyFill="1"/>
    <xf numFmtId="43" fontId="0" fillId="0" borderId="0" xfId="1" applyFont="1" applyAlignment="1">
      <alignment horizontal="center"/>
    </xf>
    <xf numFmtId="43" fontId="0" fillId="0" borderId="0" xfId="1" applyFont="1"/>
    <xf numFmtId="10" fontId="0" fillId="0" borderId="0" xfId="2" applyNumberFormat="1" applyFont="1"/>
    <xf numFmtId="2" fontId="29" fillId="0" borderId="0" xfId="0" applyNumberFormat="1" applyFont="1" applyAlignment="1">
      <alignment horizontal="center" vertical="center" wrapText="1"/>
    </xf>
    <xf numFmtId="165" fontId="30" fillId="0" borderId="0" xfId="2" applyNumberFormat="1" applyFont="1" applyFill="1" applyBorder="1" applyAlignment="1">
      <alignment horizontal="center" vertical="center" wrapText="1"/>
    </xf>
    <xf numFmtId="10" fontId="0" fillId="0" borderId="0" xfId="2" applyNumberFormat="1" applyFont="1" applyBorder="1"/>
    <xf numFmtId="43" fontId="0" fillId="0" borderId="0" xfId="1" applyFont="1" applyBorder="1" applyAlignment="1">
      <alignment horizontal="center"/>
    </xf>
    <xf numFmtId="0" fontId="18" fillId="11" borderId="0" xfId="0" applyFont="1" applyFill="1" applyAlignment="1">
      <alignment vertical="center"/>
    </xf>
    <xf numFmtId="0" fontId="24" fillId="11" borderId="0" xfId="0" applyFont="1" applyFill="1" applyAlignment="1">
      <alignment horizontal="center" vertical="center"/>
    </xf>
    <xf numFmtId="0" fontId="18" fillId="11" borderId="0" xfId="0" applyFont="1" applyFill="1"/>
    <xf numFmtId="0" fontId="2" fillId="11" borderId="0" xfId="0" applyFont="1" applyFill="1" applyAlignment="1">
      <alignment vertical="center"/>
    </xf>
    <xf numFmtId="10" fontId="18" fillId="11" borderId="0" xfId="2" applyNumberFormat="1" applyFont="1" applyFill="1"/>
    <xf numFmtId="0" fontId="37" fillId="11" borderId="0" xfId="0" applyFont="1" applyFill="1" applyAlignment="1">
      <alignment vertical="center"/>
    </xf>
    <xf numFmtId="0" fontId="25" fillId="12" borderId="5" xfId="3" applyFont="1" applyFill="1" applyBorder="1" applyAlignment="1">
      <alignment horizontal="center" vertical="center" wrapText="1"/>
    </xf>
    <xf numFmtId="0" fontId="25" fillId="12" borderId="1" xfId="3" applyFont="1" applyFill="1" applyBorder="1" applyAlignment="1">
      <alignment horizontal="center" vertical="center" wrapText="1"/>
    </xf>
    <xf numFmtId="0" fontId="9" fillId="11" borderId="2" xfId="3" applyFont="1" applyFill="1" applyBorder="1" applyAlignment="1">
      <alignment horizontal="left" vertical="center" wrapText="1"/>
    </xf>
    <xf numFmtId="0" fontId="9" fillId="11" borderId="2" xfId="3" applyFont="1" applyFill="1" applyBorder="1" applyAlignment="1">
      <alignment horizontal="center" vertical="center" wrapText="1"/>
    </xf>
    <xf numFmtId="168" fontId="9" fillId="11" borderId="2" xfId="2" applyNumberFormat="1" applyFont="1" applyFill="1" applyBorder="1" applyAlignment="1">
      <alignment horizontal="center" vertical="center" wrapText="1"/>
    </xf>
    <xf numFmtId="0" fontId="33" fillId="11" borderId="3" xfId="3" applyFont="1" applyFill="1" applyBorder="1" applyAlignment="1">
      <alignment horizontal="left" vertical="center" wrapText="1"/>
    </xf>
    <xf numFmtId="0" fontId="33" fillId="11" borderId="3" xfId="3" applyFont="1" applyFill="1" applyBorder="1" applyAlignment="1">
      <alignment horizontal="center" vertical="center" wrapText="1"/>
    </xf>
    <xf numFmtId="169" fontId="33" fillId="11" borderId="3" xfId="3" applyNumberFormat="1" applyFont="1" applyFill="1" applyBorder="1" applyAlignment="1">
      <alignment horizontal="center" vertical="center" wrapText="1"/>
    </xf>
    <xf numFmtId="0" fontId="18" fillId="13" borderId="0" xfId="0" applyFont="1" applyFill="1" applyAlignment="1">
      <alignment vertical="center"/>
    </xf>
    <xf numFmtId="0" fontId="39" fillId="13" borderId="0" xfId="0" applyFont="1" applyFill="1" applyAlignment="1">
      <alignment horizontal="center" vertical="center"/>
    </xf>
    <xf numFmtId="0" fontId="11" fillId="13" borderId="0" xfId="0" applyFont="1" applyFill="1" applyAlignment="1">
      <alignment vertical="center"/>
    </xf>
    <xf numFmtId="0" fontId="37" fillId="13" borderId="0" xfId="0" applyFont="1" applyFill="1" applyAlignment="1">
      <alignment horizontal="center" vertical="center" textRotation="90"/>
    </xf>
    <xf numFmtId="167" fontId="9" fillId="11" borderId="2" xfId="3" applyNumberFormat="1" applyFont="1" applyFill="1" applyBorder="1" applyAlignment="1">
      <alignment horizontal="center" vertical="center" wrapText="1"/>
    </xf>
    <xf numFmtId="0" fontId="9" fillId="11" borderId="3" xfId="3" applyFont="1" applyFill="1" applyBorder="1" applyAlignment="1">
      <alignment horizontal="left" vertical="center" wrapText="1"/>
    </xf>
    <xf numFmtId="0" fontId="9" fillId="11" borderId="3" xfId="3" applyFont="1" applyFill="1" applyBorder="1" applyAlignment="1">
      <alignment horizontal="center" vertical="center" wrapText="1"/>
    </xf>
    <xf numFmtId="167" fontId="9" fillId="11" borderId="3" xfId="3" applyNumberFormat="1" applyFont="1" applyFill="1" applyBorder="1" applyAlignment="1">
      <alignment horizontal="center" vertical="center" wrapText="1"/>
    </xf>
    <xf numFmtId="0" fontId="18" fillId="13" borderId="0" xfId="0" applyFont="1" applyFill="1" applyAlignment="1">
      <alignment horizontal="right" vertical="center"/>
    </xf>
    <xf numFmtId="0" fontId="9" fillId="0" borderId="3" xfId="3" applyFont="1" applyBorder="1" applyAlignment="1">
      <alignment horizontal="left" vertical="center" wrapText="1"/>
    </xf>
    <xf numFmtId="0" fontId="9" fillId="11" borderId="11" xfId="3" applyFont="1" applyFill="1" applyBorder="1" applyAlignment="1">
      <alignment horizontal="center" vertical="center" wrapText="1"/>
    </xf>
    <xf numFmtId="0" fontId="17" fillId="12" borderId="5" xfId="3" applyFont="1" applyFill="1" applyBorder="1" applyAlignment="1">
      <alignment horizontal="center" vertical="center" wrapText="1"/>
    </xf>
    <xf numFmtId="0" fontId="40" fillId="13" borderId="0" xfId="0" applyFont="1" applyFill="1" applyAlignment="1">
      <alignment vertical="center" wrapText="1"/>
    </xf>
    <xf numFmtId="0" fontId="8" fillId="12" borderId="5" xfId="3" applyFont="1" applyFill="1" applyBorder="1" applyAlignment="1">
      <alignment horizontal="center" vertical="center" wrapText="1"/>
    </xf>
    <xf numFmtId="0" fontId="17" fillId="12" borderId="1" xfId="3" applyFont="1" applyFill="1" applyBorder="1" applyAlignment="1">
      <alignment horizontal="center" vertical="center" wrapText="1"/>
    </xf>
    <xf numFmtId="167" fontId="41" fillId="12" borderId="1" xfId="3" applyNumberFormat="1" applyFont="1" applyFill="1" applyBorder="1" applyAlignment="1">
      <alignment horizontal="center" vertical="center" wrapText="1"/>
    </xf>
    <xf numFmtId="0" fontId="42" fillId="13" borderId="0" xfId="0" applyFont="1" applyFill="1" applyAlignment="1">
      <alignment vertical="center"/>
    </xf>
    <xf numFmtId="167" fontId="9" fillId="0" borderId="2" xfId="3" applyNumberFormat="1" applyFont="1" applyBorder="1" applyAlignment="1">
      <alignment horizontal="center" vertical="center" wrapText="1"/>
    </xf>
    <xf numFmtId="9" fontId="11" fillId="13" borderId="0" xfId="2" applyFont="1" applyFill="1" applyBorder="1" applyAlignment="1">
      <alignment vertical="center"/>
    </xf>
    <xf numFmtId="9" fontId="11" fillId="13" borderId="0" xfId="0" applyNumberFormat="1" applyFont="1" applyFill="1" applyAlignment="1">
      <alignment vertical="center" wrapText="1"/>
    </xf>
    <xf numFmtId="0" fontId="9" fillId="11" borderId="7" xfId="3" applyFont="1" applyFill="1" applyBorder="1" applyAlignment="1">
      <alignment horizontal="center" vertical="center" wrapText="1"/>
    </xf>
    <xf numFmtId="167" fontId="9" fillId="0" borderId="3" xfId="3" applyNumberFormat="1" applyFont="1" applyBorder="1" applyAlignment="1">
      <alignment horizontal="center" vertical="center" wrapText="1"/>
    </xf>
    <xf numFmtId="165" fontId="11" fillId="13" borderId="0" xfId="2" applyNumberFormat="1" applyFont="1" applyFill="1" applyBorder="1" applyAlignment="1">
      <alignment vertical="center"/>
    </xf>
    <xf numFmtId="0" fontId="43" fillId="13" borderId="0" xfId="0" applyFont="1" applyFill="1" applyAlignment="1">
      <alignment vertical="center" wrapText="1"/>
    </xf>
    <xf numFmtId="0" fontId="13" fillId="11" borderId="3" xfId="3" applyFont="1" applyFill="1" applyBorder="1" applyAlignment="1">
      <alignment horizontal="left" vertical="center" wrapText="1"/>
    </xf>
    <xf numFmtId="10" fontId="13" fillId="11" borderId="3" xfId="2" applyNumberFormat="1" applyFont="1" applyFill="1" applyBorder="1" applyAlignment="1">
      <alignment horizontal="center" vertical="center" wrapText="1"/>
    </xf>
    <xf numFmtId="170" fontId="9" fillId="11" borderId="11" xfId="3" applyNumberFormat="1" applyFont="1" applyFill="1" applyBorder="1" applyAlignment="1">
      <alignment horizontal="center" vertical="center" wrapText="1"/>
    </xf>
    <xf numFmtId="170" fontId="9" fillId="11" borderId="4" xfId="3" applyNumberFormat="1" applyFont="1" applyFill="1" applyBorder="1" applyAlignment="1">
      <alignment horizontal="center" vertical="center" wrapText="1"/>
    </xf>
    <xf numFmtId="0" fontId="44" fillId="11" borderId="2" xfId="3" applyFont="1" applyFill="1" applyBorder="1" applyAlignment="1">
      <alignment horizontal="left" vertical="center" wrapText="1"/>
    </xf>
    <xf numFmtId="0" fontId="33" fillId="11" borderId="2" xfId="3" applyFont="1" applyFill="1" applyBorder="1" applyAlignment="1">
      <alignment horizontal="center" vertical="center" wrapText="1"/>
    </xf>
    <xf numFmtId="0" fontId="13" fillId="11" borderId="3" xfId="3" applyFont="1" applyFill="1" applyBorder="1" applyAlignment="1">
      <alignment horizontal="center" vertical="center" wrapText="1"/>
    </xf>
    <xf numFmtId="170" fontId="13" fillId="11" borderId="3" xfId="3" applyNumberFormat="1" applyFont="1" applyFill="1" applyBorder="1" applyAlignment="1">
      <alignment horizontal="center" vertical="center" wrapText="1"/>
    </xf>
    <xf numFmtId="1" fontId="13" fillId="11" borderId="3" xfId="3" applyNumberFormat="1" applyFont="1" applyFill="1" applyBorder="1" applyAlignment="1">
      <alignment horizontal="center" vertical="center" wrapText="1"/>
    </xf>
    <xf numFmtId="167" fontId="9" fillId="11" borderId="11" xfId="3" applyNumberFormat="1" applyFont="1" applyFill="1" applyBorder="1" applyAlignment="1">
      <alignment horizontal="center" vertical="center" wrapText="1"/>
    </xf>
    <xf numFmtId="167" fontId="9" fillId="11" borderId="4" xfId="3" applyNumberFormat="1" applyFont="1" applyFill="1" applyBorder="1" applyAlignment="1">
      <alignment horizontal="center" vertical="center" wrapText="1"/>
    </xf>
    <xf numFmtId="0" fontId="18" fillId="0" borderId="0" xfId="0" applyFont="1"/>
    <xf numFmtId="0" fontId="28" fillId="8" borderId="1" xfId="3" applyFont="1" applyFill="1" applyBorder="1" applyAlignment="1">
      <alignment horizontal="center" vertical="center" wrapText="1"/>
    </xf>
    <xf numFmtId="0" fontId="25" fillId="8" borderId="5" xfId="3" applyFont="1" applyFill="1" applyBorder="1" applyAlignment="1">
      <alignment horizontal="center" vertical="center" wrapText="1"/>
    </xf>
    <xf numFmtId="0" fontId="7" fillId="8" borderId="1" xfId="3" applyFont="1" applyFill="1" applyBorder="1" applyAlignment="1">
      <alignment horizontal="center" vertical="center" wrapText="1"/>
    </xf>
    <xf numFmtId="0" fontId="49" fillId="6" borderId="0" xfId="0" applyFont="1" applyFill="1" applyAlignment="1">
      <alignment horizontal="left" vertical="center"/>
    </xf>
    <xf numFmtId="0" fontId="51" fillId="0" borderId="2" xfId="4" applyFont="1" applyBorder="1" applyAlignment="1">
      <alignment horizontal="center" vertical="center" wrapText="1"/>
    </xf>
    <xf numFmtId="0" fontId="13" fillId="0" borderId="2" xfId="3" applyFont="1" applyBorder="1" applyAlignment="1">
      <alignment horizontal="left" vertical="center" wrapText="1"/>
    </xf>
    <xf numFmtId="2" fontId="13" fillId="0" borderId="2" xfId="3" applyNumberFormat="1" applyFont="1" applyBorder="1" applyAlignment="1">
      <alignment horizontal="center" vertical="center" wrapText="1"/>
    </xf>
    <xf numFmtId="0" fontId="9" fillId="0" borderId="6" xfId="3" applyFont="1" applyBorder="1" applyAlignment="1">
      <alignment horizontal="center" vertical="center" wrapText="1"/>
    </xf>
    <xf numFmtId="0" fontId="9" fillId="0" borderId="2" xfId="3" applyFont="1" applyBorder="1" applyAlignment="1">
      <alignment horizontal="left" vertical="center" wrapText="1"/>
    </xf>
    <xf numFmtId="2" fontId="9" fillId="0" borderId="2" xfId="3" applyNumberFormat="1" applyFont="1" applyBorder="1" applyAlignment="1">
      <alignment horizontal="center" vertical="center" wrapText="1"/>
    </xf>
    <xf numFmtId="0" fontId="33" fillId="0" borderId="2" xfId="3" applyFont="1" applyBorder="1" applyAlignment="1">
      <alignment horizontal="left" vertical="center" wrapText="1"/>
    </xf>
    <xf numFmtId="0" fontId="33" fillId="0" borderId="2" xfId="3" applyFont="1" applyBorder="1" applyAlignment="1">
      <alignment horizontal="center" vertical="center" wrapText="1"/>
    </xf>
    <xf numFmtId="0" fontId="53" fillId="6" borderId="0" xfId="0" applyFont="1" applyFill="1" applyAlignment="1">
      <alignment vertical="center"/>
    </xf>
    <xf numFmtId="14" fontId="18" fillId="6" borderId="0" xfId="0" applyNumberFormat="1" applyFont="1" applyFill="1"/>
    <xf numFmtId="0" fontId="54" fillId="6" borderId="0" xfId="0" applyFont="1" applyFill="1"/>
    <xf numFmtId="10" fontId="18" fillId="6" borderId="0" xfId="2" applyNumberFormat="1" applyFont="1" applyFill="1"/>
    <xf numFmtId="43" fontId="18" fillId="6" borderId="0" xfId="1" applyFont="1" applyFill="1"/>
    <xf numFmtId="2" fontId="53" fillId="3" borderId="2" xfId="3" applyNumberFormat="1" applyFont="1" applyFill="1" applyBorder="1" applyAlignment="1">
      <alignment horizontal="center" vertical="center" wrapText="1"/>
    </xf>
    <xf numFmtId="2" fontId="53" fillId="2" borderId="2" xfId="3" applyNumberFormat="1" applyFont="1" applyFill="1" applyBorder="1" applyAlignment="1">
      <alignment horizontal="center" vertical="center" wrapText="1"/>
    </xf>
    <xf numFmtId="2" fontId="18" fillId="6" borderId="2" xfId="3" applyNumberFormat="1" applyFont="1" applyFill="1" applyBorder="1" applyAlignment="1">
      <alignment horizontal="center" vertical="center" wrapText="1"/>
    </xf>
    <xf numFmtId="2" fontId="53" fillId="2" borderId="2" xfId="2" applyNumberFormat="1" applyFont="1" applyFill="1" applyBorder="1" applyAlignment="1">
      <alignment horizontal="center" vertical="center" wrapText="1"/>
    </xf>
    <xf numFmtId="10" fontId="52" fillId="2" borderId="2" xfId="2" applyNumberFormat="1" applyFont="1" applyFill="1" applyBorder="1" applyAlignment="1">
      <alignment horizontal="center" vertical="center" wrapText="1"/>
    </xf>
    <xf numFmtId="169" fontId="33" fillId="2" borderId="2" xfId="2" applyNumberFormat="1" applyFont="1" applyFill="1" applyBorder="1" applyAlignment="1">
      <alignment horizontal="center" vertical="center" wrapText="1"/>
    </xf>
    <xf numFmtId="2" fontId="53" fillId="3" borderId="2" xfId="2" applyNumberFormat="1" applyFont="1" applyFill="1" applyBorder="1" applyAlignment="1">
      <alignment horizontal="center" vertical="center" wrapText="1"/>
    </xf>
    <xf numFmtId="10" fontId="52" fillId="3" borderId="2" xfId="2" applyNumberFormat="1" applyFont="1" applyFill="1" applyBorder="1" applyAlignment="1">
      <alignment horizontal="center" vertical="center" wrapText="1"/>
    </xf>
    <xf numFmtId="169" fontId="33" fillId="3" borderId="2" xfId="2" applyNumberFormat="1" applyFont="1" applyFill="1" applyBorder="1" applyAlignment="1">
      <alignment horizontal="center" vertical="center" wrapText="1"/>
    </xf>
    <xf numFmtId="2" fontId="53" fillId="14" borderId="2" xfId="2" applyNumberFormat="1" applyFont="1" applyFill="1" applyBorder="1" applyAlignment="1">
      <alignment horizontal="center" vertical="center" wrapText="1"/>
    </xf>
    <xf numFmtId="169" fontId="33" fillId="14" borderId="2" xfId="2" applyNumberFormat="1" applyFont="1" applyFill="1" applyBorder="1" applyAlignment="1">
      <alignment horizontal="center" vertical="center" wrapText="1"/>
    </xf>
    <xf numFmtId="169" fontId="33" fillId="15" borderId="2" xfId="2" applyNumberFormat="1" applyFont="1" applyFill="1" applyBorder="1" applyAlignment="1">
      <alignment horizontal="center" vertical="center" wrapText="1"/>
    </xf>
    <xf numFmtId="2" fontId="9" fillId="0" borderId="2" xfId="3" applyNumberFormat="1" applyFont="1" applyBorder="1" applyAlignment="1">
      <alignment horizontal="left" vertical="center" wrapText="1"/>
    </xf>
    <xf numFmtId="10" fontId="13" fillId="0" borderId="2" xfId="2" applyNumberFormat="1" applyFont="1" applyBorder="1" applyAlignment="1">
      <alignment horizontal="center" vertical="center" wrapText="1"/>
    </xf>
    <xf numFmtId="2" fontId="35" fillId="15" borderId="2" xfId="2" applyNumberFormat="1" applyFont="1" applyFill="1" applyBorder="1" applyAlignment="1">
      <alignment horizontal="center" vertical="center" wrapText="1"/>
    </xf>
    <xf numFmtId="10" fontId="26" fillId="15" borderId="2" xfId="2" applyNumberFormat="1" applyFont="1" applyFill="1" applyBorder="1" applyAlignment="1">
      <alignment horizontal="center" vertical="center" wrapText="1"/>
    </xf>
    <xf numFmtId="169" fontId="33" fillId="0" borderId="2" xfId="2" applyNumberFormat="1" applyFont="1" applyFill="1" applyBorder="1" applyAlignment="1">
      <alignment horizontal="center" vertical="center" wrapText="1"/>
    </xf>
    <xf numFmtId="10" fontId="26" fillId="14" borderId="2" xfId="2" applyNumberFormat="1" applyFont="1" applyFill="1" applyBorder="1" applyAlignment="1">
      <alignment horizontal="center" vertical="center" wrapText="1"/>
    </xf>
    <xf numFmtId="0" fontId="13" fillId="17" borderId="10" xfId="3" applyFont="1" applyFill="1" applyBorder="1" applyAlignment="1">
      <alignment horizontal="right" vertical="center" wrapText="1"/>
    </xf>
    <xf numFmtId="0" fontId="13" fillId="17" borderId="11" xfId="3" applyFont="1" applyFill="1" applyBorder="1" applyAlignment="1">
      <alignment horizontal="right" vertical="center" wrapText="1"/>
    </xf>
    <xf numFmtId="0" fontId="13" fillId="17" borderId="3" xfId="3" applyFont="1" applyFill="1" applyBorder="1" applyAlignment="1">
      <alignment horizontal="right" vertical="center" wrapText="1"/>
    </xf>
    <xf numFmtId="0" fontId="57" fillId="12" borderId="0" xfId="0" applyFont="1" applyFill="1" applyAlignment="1">
      <alignment horizontal="center" vertical="center"/>
    </xf>
    <xf numFmtId="0" fontId="9" fillId="11" borderId="11" xfId="3" applyFont="1" applyFill="1" applyBorder="1" applyAlignment="1">
      <alignment horizontal="left" vertical="center" wrapText="1"/>
    </xf>
    <xf numFmtId="0" fontId="18" fillId="13" borderId="0" xfId="0" applyFont="1" applyFill="1" applyAlignment="1">
      <alignment horizontal="left" vertical="center"/>
    </xf>
    <xf numFmtId="3" fontId="9" fillId="11" borderId="3" xfId="3" applyNumberFormat="1" applyFont="1" applyFill="1" applyBorder="1" applyAlignment="1">
      <alignment horizontal="center" vertical="center" wrapText="1"/>
    </xf>
    <xf numFmtId="3" fontId="9" fillId="11" borderId="2" xfId="3" applyNumberFormat="1" applyFont="1" applyFill="1" applyBorder="1" applyAlignment="1">
      <alignment horizontal="center" vertical="center" wrapText="1"/>
    </xf>
    <xf numFmtId="3" fontId="9" fillId="18" borderId="3" xfId="3" applyNumberFormat="1" applyFont="1" applyFill="1" applyBorder="1" applyAlignment="1">
      <alignment horizontal="center" vertical="center" wrapText="1"/>
    </xf>
    <xf numFmtId="3" fontId="13" fillId="17" borderId="3" xfId="3" applyNumberFormat="1" applyFont="1" applyFill="1" applyBorder="1" applyAlignment="1">
      <alignment horizontal="center" vertical="center" wrapText="1"/>
    </xf>
    <xf numFmtId="3" fontId="18" fillId="13" borderId="0" xfId="0" applyNumberFormat="1" applyFont="1" applyFill="1" applyAlignment="1">
      <alignment vertical="center"/>
    </xf>
    <xf numFmtId="167" fontId="18" fillId="13" borderId="0" xfId="0" applyNumberFormat="1" applyFont="1" applyFill="1" applyAlignment="1">
      <alignment vertical="center"/>
    </xf>
    <xf numFmtId="0" fontId="9" fillId="11" borderId="6" xfId="3" applyFont="1" applyFill="1" applyBorder="1" applyAlignment="1">
      <alignment horizontal="center" vertical="center" wrapText="1"/>
    </xf>
    <xf numFmtId="0" fontId="35" fillId="11" borderId="7" xfId="0" applyFont="1" applyFill="1" applyBorder="1" applyAlignment="1">
      <alignment horizontal="right" vertical="center" wrapText="1"/>
    </xf>
    <xf numFmtId="3" fontId="34" fillId="0" borderId="2" xfId="3" applyNumberFormat="1" applyFont="1" applyBorder="1" applyAlignment="1">
      <alignment horizontal="center" vertical="center" wrapText="1"/>
    </xf>
    <xf numFmtId="3" fontId="34" fillId="0" borderId="3" xfId="3" applyNumberFormat="1" applyFont="1" applyBorder="1" applyAlignment="1">
      <alignment horizontal="center" vertical="center" wrapText="1"/>
    </xf>
    <xf numFmtId="10" fontId="13" fillId="11" borderId="2" xfId="2" applyNumberFormat="1" applyFont="1" applyFill="1" applyBorder="1" applyAlignment="1">
      <alignment horizontal="center" vertical="center" wrapText="1"/>
    </xf>
    <xf numFmtId="0" fontId="11" fillId="13" borderId="0" xfId="0" applyFont="1" applyFill="1" applyAlignment="1">
      <alignment horizontal="right" vertical="center"/>
    </xf>
    <xf numFmtId="3" fontId="11" fillId="13" borderId="0" xfId="0" applyNumberFormat="1" applyFont="1" applyFill="1" applyAlignment="1">
      <alignment vertical="center"/>
    </xf>
    <xf numFmtId="170" fontId="34" fillId="11" borderId="0" xfId="3" applyNumberFormat="1" applyFont="1" applyFill="1" applyAlignment="1">
      <alignment horizontal="right" vertical="center" wrapText="1"/>
    </xf>
    <xf numFmtId="170" fontId="34" fillId="11" borderId="0" xfId="3" applyNumberFormat="1" applyFont="1" applyFill="1" applyAlignment="1">
      <alignment horizontal="center" vertical="center" wrapText="1"/>
    </xf>
    <xf numFmtId="170" fontId="9" fillId="11" borderId="0" xfId="3" applyNumberFormat="1" applyFont="1" applyFill="1" applyAlignment="1">
      <alignment horizontal="center" vertical="center" wrapText="1"/>
    </xf>
    <xf numFmtId="2" fontId="9" fillId="11" borderId="0" xfId="3" applyNumberFormat="1" applyFont="1" applyFill="1" applyAlignment="1">
      <alignment horizontal="center" vertical="center" wrapText="1"/>
    </xf>
    <xf numFmtId="1" fontId="13" fillId="11" borderId="0" xfId="3" applyNumberFormat="1" applyFont="1" applyFill="1" applyAlignment="1">
      <alignment horizontal="center" vertical="center" wrapText="1"/>
    </xf>
    <xf numFmtId="0" fontId="15" fillId="13" borderId="0" xfId="0" applyFont="1" applyFill="1" applyAlignment="1">
      <alignment horizontal="right" vertical="center"/>
    </xf>
    <xf numFmtId="0" fontId="15" fillId="13" borderId="0" xfId="0" applyFont="1" applyFill="1" applyAlignment="1">
      <alignment vertical="center"/>
    </xf>
    <xf numFmtId="3" fontId="15" fillId="13" borderId="0" xfId="0" applyNumberFormat="1" applyFont="1" applyFill="1" applyAlignment="1">
      <alignment vertical="center"/>
    </xf>
    <xf numFmtId="3" fontId="36" fillId="11" borderId="3" xfId="3" applyNumberFormat="1" applyFont="1" applyFill="1" applyBorder="1" applyAlignment="1">
      <alignment horizontal="center" vertical="center" wrapText="1"/>
    </xf>
    <xf numFmtId="3" fontId="13" fillId="11" borderId="3" xfId="3" applyNumberFormat="1" applyFont="1" applyFill="1" applyBorder="1" applyAlignment="1">
      <alignment horizontal="center" vertical="center" wrapText="1"/>
    </xf>
    <xf numFmtId="10" fontId="32" fillId="0" borderId="3" xfId="2" applyNumberFormat="1" applyFont="1" applyFill="1" applyBorder="1" applyAlignment="1">
      <alignment horizontal="center" vertical="center" wrapText="1"/>
    </xf>
    <xf numFmtId="0" fontId="58" fillId="15" borderId="0" xfId="0" applyFont="1" applyFill="1"/>
    <xf numFmtId="1" fontId="58" fillId="15" borderId="3" xfId="0" applyNumberFormat="1" applyFont="1" applyFill="1" applyBorder="1" applyAlignment="1">
      <alignment horizontal="center" vertical="center"/>
    </xf>
    <xf numFmtId="0" fontId="35" fillId="11" borderId="3" xfId="0" applyFont="1" applyFill="1" applyBorder="1" applyAlignment="1">
      <alignment horizontal="right" vertical="center" wrapText="1"/>
    </xf>
    <xf numFmtId="0" fontId="34" fillId="11" borderId="3" xfId="3" applyFont="1" applyFill="1" applyBorder="1" applyAlignment="1">
      <alignment horizontal="right" vertical="center" wrapText="1"/>
    </xf>
    <xf numFmtId="0" fontId="14" fillId="19" borderId="0" xfId="0" applyFont="1" applyFill="1"/>
    <xf numFmtId="0" fontId="9" fillId="19" borderId="0" xfId="0" applyFont="1" applyFill="1"/>
    <xf numFmtId="0" fontId="9" fillId="20" borderId="3" xfId="3" applyFont="1" applyFill="1" applyBorder="1" applyAlignment="1">
      <alignment horizontal="center" vertical="center" wrapText="1"/>
    </xf>
    <xf numFmtId="167" fontId="9" fillId="20" borderId="3" xfId="3" applyNumberFormat="1" applyFont="1" applyFill="1" applyBorder="1" applyAlignment="1">
      <alignment horizontal="center" vertical="center" wrapText="1"/>
    </xf>
    <xf numFmtId="1" fontId="58" fillId="19" borderId="3" xfId="0" applyNumberFormat="1" applyFont="1" applyFill="1" applyBorder="1" applyAlignment="1">
      <alignment horizontal="center" vertical="center"/>
    </xf>
    <xf numFmtId="1" fontId="59" fillId="15" borderId="3" xfId="0" applyNumberFormat="1" applyFont="1" applyFill="1" applyBorder="1" applyAlignment="1">
      <alignment horizontal="center" vertical="center"/>
    </xf>
    <xf numFmtId="0" fontId="18" fillId="0" borderId="0" xfId="0" applyFont="1" applyAlignment="1">
      <alignment vertical="center"/>
    </xf>
    <xf numFmtId="0" fontId="16" fillId="0" borderId="0" xfId="0" applyFont="1" applyAlignment="1">
      <alignment horizontal="center" vertical="center"/>
    </xf>
    <xf numFmtId="0" fontId="60" fillId="0" borderId="0" xfId="0" applyFont="1" applyAlignment="1">
      <alignment vertical="center"/>
    </xf>
    <xf numFmtId="0" fontId="18" fillId="0" borderId="0" xfId="0" applyFont="1" applyAlignment="1">
      <alignment horizontal="right" vertical="center"/>
    </xf>
    <xf numFmtId="0" fontId="8" fillId="8" borderId="19" xfId="3" applyFont="1" applyFill="1" applyBorder="1" applyAlignment="1">
      <alignment horizontal="center" vertical="center" wrapText="1"/>
    </xf>
    <xf numFmtId="0" fontId="56" fillId="7" borderId="3" xfId="3" applyFont="1" applyFill="1" applyBorder="1" applyAlignment="1">
      <alignment horizontal="center" vertical="center" wrapText="1"/>
    </xf>
    <xf numFmtId="0" fontId="35" fillId="0" borderId="0" xfId="0" applyFont="1" applyAlignment="1">
      <alignment vertical="center" wrapText="1"/>
    </xf>
    <xf numFmtId="0" fontId="61" fillId="0" borderId="0" xfId="0" applyFont="1" applyAlignment="1">
      <alignment vertical="center"/>
    </xf>
    <xf numFmtId="0" fontId="27" fillId="0" borderId="0" xfId="0" applyFont="1" applyAlignment="1">
      <alignment horizontal="left" vertical="center"/>
    </xf>
    <xf numFmtId="0" fontId="11" fillId="0" borderId="0" xfId="0" applyFont="1" applyAlignment="1">
      <alignment vertical="center"/>
    </xf>
    <xf numFmtId="0" fontId="62" fillId="0" borderId="0" xfId="0" applyFont="1" applyAlignment="1">
      <alignment horizontal="center" vertical="center"/>
    </xf>
    <xf numFmtId="0" fontId="11" fillId="0" borderId="0" xfId="0" applyFont="1" applyAlignment="1">
      <alignment horizontal="right" vertical="center"/>
    </xf>
    <xf numFmtId="0" fontId="39" fillId="0" borderId="0" xfId="0" applyFont="1" applyAlignment="1">
      <alignment horizontal="center" vertical="center"/>
    </xf>
    <xf numFmtId="14" fontId="18" fillId="0" borderId="0" xfId="0" applyNumberFormat="1" applyFont="1" applyAlignment="1">
      <alignment vertical="center"/>
    </xf>
    <xf numFmtId="0" fontId="62" fillId="0" borderId="0" xfId="0" applyFont="1" applyAlignment="1">
      <alignment horizontal="left" vertical="center"/>
    </xf>
    <xf numFmtId="168" fontId="9" fillId="0" borderId="2" xfId="2" applyNumberFormat="1" applyFont="1" applyBorder="1" applyAlignment="1">
      <alignment horizontal="center" vertical="center" wrapText="1"/>
    </xf>
    <xf numFmtId="165" fontId="12" fillId="0" borderId="0" xfId="0" applyNumberFormat="1" applyFont="1" applyAlignment="1">
      <alignment horizontal="left" vertical="center"/>
    </xf>
    <xf numFmtId="0" fontId="63" fillId="0" borderId="0" xfId="0" applyFont="1" applyAlignment="1">
      <alignment vertical="center"/>
    </xf>
    <xf numFmtId="166" fontId="64" fillId="0" borderId="0" xfId="0" applyNumberFormat="1" applyFont="1" applyAlignment="1">
      <alignment horizontal="left" vertical="center"/>
    </xf>
    <xf numFmtId="0" fontId="38" fillId="12" borderId="0" xfId="3" applyFont="1" applyFill="1" applyAlignment="1">
      <alignment horizontal="center" vertical="center" textRotation="90" wrapText="1"/>
    </xf>
    <xf numFmtId="167" fontId="11" fillId="0" borderId="0" xfId="0" applyNumberFormat="1" applyFont="1" applyAlignment="1">
      <alignment horizontal="right" vertical="center"/>
    </xf>
    <xf numFmtId="167" fontId="11" fillId="0" borderId="0" xfId="0" applyNumberFormat="1" applyFont="1" applyAlignment="1">
      <alignment horizontal="left" vertical="center"/>
    </xf>
    <xf numFmtId="43" fontId="11" fillId="0" borderId="0" xfId="1" applyFont="1" applyFill="1" applyBorder="1" applyAlignment="1">
      <alignment horizontal="right" vertical="center"/>
    </xf>
    <xf numFmtId="0" fontId="66" fillId="8" borderId="5" xfId="3" applyFont="1" applyFill="1" applyBorder="1" applyAlignment="1">
      <alignment horizontal="center" vertical="center" wrapText="1"/>
    </xf>
    <xf numFmtId="0" fontId="68" fillId="0" borderId="0" xfId="0" applyFont="1" applyAlignment="1">
      <alignment horizontal="center" vertical="center"/>
    </xf>
    <xf numFmtId="0" fontId="57" fillId="11" borderId="20" xfId="3" applyFont="1" applyFill="1" applyBorder="1" applyAlignment="1">
      <alignment horizontal="left" vertical="center" wrapText="1"/>
    </xf>
    <xf numFmtId="0" fontId="9" fillId="11" borderId="18" xfId="3" applyFont="1" applyFill="1" applyBorder="1" applyAlignment="1">
      <alignment horizontal="center" vertical="center" wrapText="1"/>
    </xf>
    <xf numFmtId="167" fontId="9" fillId="11" borderId="18" xfId="3" applyNumberFormat="1" applyFont="1" applyFill="1" applyBorder="1" applyAlignment="1">
      <alignment horizontal="center" vertical="center" wrapText="1"/>
    </xf>
    <xf numFmtId="167" fontId="9" fillId="11" borderId="17" xfId="3" applyNumberFormat="1" applyFont="1" applyFill="1" applyBorder="1" applyAlignment="1">
      <alignment horizontal="center" vertical="center" wrapText="1"/>
    </xf>
    <xf numFmtId="0" fontId="69" fillId="0" borderId="0" xfId="0" applyFont="1" applyAlignment="1">
      <alignment horizontal="left" vertical="center" wrapText="1"/>
    </xf>
    <xf numFmtId="43" fontId="12" fillId="0" borderId="0" xfId="1" applyFont="1" applyFill="1" applyBorder="1" applyAlignment="1">
      <alignment horizontal="right" vertical="center"/>
    </xf>
    <xf numFmtId="167" fontId="9" fillId="11" borderId="3" xfId="3" applyNumberFormat="1" applyFont="1" applyFill="1" applyBorder="1" applyAlignment="1">
      <alignment horizontal="right" vertical="center" wrapText="1"/>
    </xf>
    <xf numFmtId="173" fontId="11" fillId="0" borderId="0" xfId="1" applyNumberFormat="1" applyFont="1" applyFill="1" applyBorder="1" applyAlignment="1">
      <alignment horizontal="left" vertical="center"/>
    </xf>
    <xf numFmtId="0" fontId="70" fillId="0" borderId="0" xfId="0" applyFont="1" applyAlignment="1">
      <alignment vertical="center"/>
    </xf>
    <xf numFmtId="167" fontId="9" fillId="0" borderId="3" xfId="3" applyNumberFormat="1" applyFont="1" applyBorder="1" applyAlignment="1">
      <alignment horizontal="right" vertical="center" wrapText="1"/>
    </xf>
    <xf numFmtId="0" fontId="57" fillId="11" borderId="10" xfId="3" applyFont="1" applyFill="1" applyBorder="1" applyAlignment="1">
      <alignment horizontal="left" vertical="center" wrapText="1"/>
    </xf>
    <xf numFmtId="167" fontId="9" fillId="11" borderId="11" xfId="3" applyNumberFormat="1" applyFont="1" applyFill="1" applyBorder="1" applyAlignment="1">
      <alignment horizontal="right" vertical="center" wrapText="1"/>
    </xf>
    <xf numFmtId="174" fontId="9" fillId="11" borderId="11" xfId="3" applyNumberFormat="1" applyFont="1" applyFill="1" applyBorder="1" applyAlignment="1">
      <alignment horizontal="center" vertical="center" wrapText="1"/>
    </xf>
    <xf numFmtId="173" fontId="69" fillId="0" borderId="0" xfId="1" applyNumberFormat="1" applyFont="1" applyFill="1" applyBorder="1" applyAlignment="1">
      <alignment horizontal="left" vertical="center" wrapText="1"/>
    </xf>
    <xf numFmtId="0" fontId="71" fillId="0" borderId="0" xfId="0" applyFont="1" applyAlignment="1">
      <alignment vertical="center"/>
    </xf>
    <xf numFmtId="0" fontId="40" fillId="0" borderId="0" xfId="0" applyFont="1" applyAlignment="1">
      <alignment vertical="center"/>
    </xf>
    <xf numFmtId="167" fontId="9" fillId="11" borderId="18" xfId="3" applyNumberFormat="1" applyFont="1" applyFill="1" applyBorder="1" applyAlignment="1">
      <alignment horizontal="right" vertical="center" wrapText="1"/>
    </xf>
    <xf numFmtId="173" fontId="69" fillId="0" borderId="0" xfId="1" applyNumberFormat="1" applyFont="1" applyFill="1" applyBorder="1" applyAlignment="1">
      <alignment horizontal="left" vertical="center"/>
    </xf>
    <xf numFmtId="164" fontId="11" fillId="0" borderId="0" xfId="1" applyNumberFormat="1" applyFont="1" applyFill="1" applyBorder="1" applyAlignment="1">
      <alignment horizontal="right" vertical="center"/>
    </xf>
    <xf numFmtId="0" fontId="40" fillId="0" borderId="0" xfId="0" applyFont="1" applyAlignment="1">
      <alignment vertical="center" wrapText="1"/>
    </xf>
    <xf numFmtId="173" fontId="12" fillId="0" borderId="0" xfId="1" applyNumberFormat="1" applyFont="1" applyFill="1" applyBorder="1" applyAlignment="1">
      <alignment horizontal="left" vertical="center"/>
    </xf>
    <xf numFmtId="0" fontId="57" fillId="11" borderId="3" xfId="3" applyFont="1" applyFill="1" applyBorder="1" applyAlignment="1">
      <alignment horizontal="left" vertical="center" wrapText="1"/>
    </xf>
    <xf numFmtId="173" fontId="12" fillId="0" borderId="0" xfId="1" applyNumberFormat="1" applyFont="1" applyFill="1" applyBorder="1" applyAlignment="1">
      <alignment horizontal="right" vertical="center"/>
    </xf>
    <xf numFmtId="0" fontId="72" fillId="0" borderId="0" xfId="0" applyFont="1" applyAlignment="1">
      <alignment vertical="center" textRotation="90"/>
    </xf>
    <xf numFmtId="0" fontId="15" fillId="0" borderId="0" xfId="0" applyFont="1" applyAlignment="1">
      <alignment horizontal="right" vertical="center" wrapText="1"/>
    </xf>
    <xf numFmtId="0" fontId="12" fillId="0" borderId="0" xfId="0" applyFont="1" applyAlignment="1">
      <alignment vertical="center"/>
    </xf>
    <xf numFmtId="167" fontId="12" fillId="0" borderId="0" xfId="0" applyNumberFormat="1" applyFont="1" applyAlignment="1">
      <alignment vertical="center"/>
    </xf>
    <xf numFmtId="167" fontId="14" fillId="11" borderId="3" xfId="3" applyNumberFormat="1" applyFont="1" applyFill="1" applyBorder="1" applyAlignment="1">
      <alignment horizontal="center" vertical="center" wrapText="1"/>
    </xf>
    <xf numFmtId="173" fontId="11" fillId="0" borderId="0" xfId="1" applyNumberFormat="1" applyFont="1" applyFill="1" applyBorder="1" applyAlignment="1">
      <alignment vertical="center"/>
    </xf>
    <xf numFmtId="173" fontId="18" fillId="0" borderId="21" xfId="1" applyNumberFormat="1" applyFont="1" applyFill="1" applyBorder="1" applyAlignment="1">
      <alignment vertical="center"/>
    </xf>
    <xf numFmtId="0" fontId="14" fillId="11" borderId="20" xfId="3" applyFont="1" applyFill="1" applyBorder="1" applyAlignment="1">
      <alignment horizontal="left" vertical="center" wrapText="1"/>
    </xf>
    <xf numFmtId="0" fontId="14" fillId="11" borderId="18" xfId="3" applyFont="1" applyFill="1" applyBorder="1" applyAlignment="1">
      <alignment horizontal="center" vertical="center" wrapText="1"/>
    </xf>
    <xf numFmtId="167" fontId="14" fillId="11" borderId="4" xfId="3" applyNumberFormat="1" applyFont="1" applyFill="1" applyBorder="1" applyAlignment="1">
      <alignment horizontal="center" vertical="center" wrapText="1"/>
    </xf>
    <xf numFmtId="173" fontId="11" fillId="0" borderId="0" xfId="1" quotePrefix="1" applyNumberFormat="1" applyFont="1" applyFill="1" applyBorder="1" applyAlignment="1">
      <alignment vertical="center"/>
    </xf>
    <xf numFmtId="167" fontId="14" fillId="0" borderId="3" xfId="3" applyNumberFormat="1" applyFont="1" applyBorder="1" applyAlignment="1">
      <alignment horizontal="center" vertical="center" wrapText="1"/>
    </xf>
    <xf numFmtId="10" fontId="14" fillId="11" borderId="3" xfId="2" applyNumberFormat="1" applyFont="1" applyFill="1" applyBorder="1" applyAlignment="1">
      <alignment horizontal="center" vertical="center" wrapText="1"/>
    </xf>
    <xf numFmtId="175" fontId="11" fillId="0" borderId="0" xfId="2" applyNumberFormat="1" applyFont="1" applyFill="1" applyBorder="1" applyAlignment="1">
      <alignment horizontal="center" vertical="center"/>
    </xf>
    <xf numFmtId="43" fontId="11" fillId="0" borderId="0" xfId="1" applyFont="1" applyFill="1" applyBorder="1" applyAlignment="1">
      <alignment vertical="center"/>
    </xf>
    <xf numFmtId="172" fontId="75" fillId="0" borderId="0" xfId="2" applyNumberFormat="1" applyFont="1" applyFill="1" applyAlignment="1">
      <alignment vertical="center"/>
    </xf>
    <xf numFmtId="0" fontId="75" fillId="0" borderId="0" xfId="0" applyFont="1" applyAlignment="1">
      <alignment vertical="center"/>
    </xf>
    <xf numFmtId="176" fontId="75" fillId="0" borderId="0" xfId="2" applyNumberFormat="1" applyFont="1" applyFill="1" applyAlignment="1">
      <alignment vertical="center"/>
    </xf>
    <xf numFmtId="165" fontId="11" fillId="0" borderId="0" xfId="0" applyNumberFormat="1" applyFont="1" applyAlignment="1">
      <alignment vertical="center"/>
    </xf>
    <xf numFmtId="175" fontId="11" fillId="0" borderId="0" xfId="5" applyNumberFormat="1" applyFont="1" applyFill="1" applyBorder="1" applyAlignment="1">
      <alignment horizontal="center" vertical="center"/>
    </xf>
    <xf numFmtId="165" fontId="11" fillId="0" borderId="0" xfId="5" applyNumberFormat="1" applyFont="1" applyFill="1" applyBorder="1" applyAlignment="1">
      <alignment horizontal="center" vertical="center"/>
    </xf>
    <xf numFmtId="0" fontId="73" fillId="11" borderId="10" xfId="3" applyFont="1" applyFill="1" applyBorder="1" applyAlignment="1">
      <alignment horizontal="left" vertical="center" wrapText="1"/>
    </xf>
    <xf numFmtId="0" fontId="73" fillId="11" borderId="11" xfId="3" applyFont="1" applyFill="1" applyBorder="1" applyAlignment="1">
      <alignment horizontal="center" vertical="center" wrapText="1"/>
    </xf>
    <xf numFmtId="167" fontId="73" fillId="11" borderId="4" xfId="3" applyNumberFormat="1" applyFont="1" applyFill="1" applyBorder="1" applyAlignment="1">
      <alignment horizontal="center" vertical="center" wrapText="1"/>
    </xf>
    <xf numFmtId="177" fontId="73" fillId="0" borderId="3" xfId="1" applyNumberFormat="1" applyFont="1" applyBorder="1" applyAlignment="1">
      <alignment horizontal="center" vertical="center"/>
    </xf>
    <xf numFmtId="10" fontId="73" fillId="0" borderId="0" xfId="5" applyNumberFormat="1" applyFont="1" applyFill="1" applyBorder="1" applyAlignment="1">
      <alignment horizontal="center" vertical="center"/>
    </xf>
    <xf numFmtId="10" fontId="11" fillId="0" borderId="0" xfId="2" applyNumberFormat="1" applyFont="1" applyFill="1" applyBorder="1" applyAlignment="1">
      <alignment vertical="center"/>
    </xf>
    <xf numFmtId="172" fontId="77" fillId="0" borderId="0" xfId="0" applyNumberFormat="1" applyFont="1" applyAlignment="1">
      <alignment vertical="center"/>
    </xf>
    <xf numFmtId="0" fontId="77" fillId="0" borderId="0" xfId="0" applyFont="1" applyAlignment="1">
      <alignment vertical="center"/>
    </xf>
    <xf numFmtId="167" fontId="73" fillId="11" borderId="11" xfId="3" applyNumberFormat="1" applyFont="1" applyFill="1" applyBorder="1" applyAlignment="1">
      <alignment horizontal="center" vertical="center" wrapText="1"/>
    </xf>
    <xf numFmtId="177" fontId="11" fillId="0" borderId="3" xfId="1" applyNumberFormat="1" applyFont="1" applyBorder="1" applyAlignment="1">
      <alignment horizontal="center" vertical="center"/>
    </xf>
    <xf numFmtId="0" fontId="21" fillId="11" borderId="22" xfId="3" applyFont="1" applyFill="1" applyBorder="1" applyAlignment="1">
      <alignment horizontal="left" vertical="center" wrapText="1"/>
    </xf>
    <xf numFmtId="0" fontId="21" fillId="11" borderId="0" xfId="3" applyFont="1" applyFill="1" applyAlignment="1">
      <alignment horizontal="center" vertical="center" wrapText="1"/>
    </xf>
    <xf numFmtId="167" fontId="21" fillId="11" borderId="4" xfId="3" applyNumberFormat="1" applyFont="1" applyFill="1" applyBorder="1" applyAlignment="1">
      <alignment horizontal="center" vertical="center" wrapText="1"/>
    </xf>
    <xf numFmtId="167" fontId="21" fillId="11" borderId="3" xfId="3" applyNumberFormat="1" applyFont="1" applyFill="1" applyBorder="1" applyAlignment="1">
      <alignment horizontal="center" vertical="center" wrapText="1"/>
    </xf>
    <xf numFmtId="43" fontId="15" fillId="0" borderId="0" xfId="1" applyFont="1" applyFill="1" applyBorder="1" applyAlignment="1">
      <alignment vertical="center"/>
    </xf>
    <xf numFmtId="172" fontId="11" fillId="0" borderId="0" xfId="0" applyNumberFormat="1" applyFont="1" applyAlignment="1">
      <alignment vertical="center"/>
    </xf>
    <xf numFmtId="10" fontId="73" fillId="0" borderId="0" xfId="0" applyNumberFormat="1" applyFont="1" applyAlignment="1">
      <alignment horizontal="center" vertical="center"/>
    </xf>
    <xf numFmtId="0" fontId="33" fillId="11" borderId="10" xfId="3" applyFont="1" applyFill="1" applyBorder="1" applyAlignment="1">
      <alignment horizontal="left" vertical="center" wrapText="1"/>
    </xf>
    <xf numFmtId="166" fontId="33" fillId="11" borderId="4" xfId="3" applyNumberFormat="1" applyFont="1" applyFill="1" applyBorder="1" applyAlignment="1">
      <alignment horizontal="center" vertical="center" wrapText="1"/>
    </xf>
    <xf numFmtId="178" fontId="64" fillId="0" borderId="0" xfId="0" applyNumberFormat="1" applyFont="1" applyAlignment="1">
      <alignment vertical="center"/>
    </xf>
    <xf numFmtId="0" fontId="15" fillId="11" borderId="10" xfId="3" applyFont="1" applyFill="1" applyBorder="1" applyAlignment="1">
      <alignment horizontal="left" vertical="center" wrapText="1"/>
    </xf>
    <xf numFmtId="0" fontId="80" fillId="11" borderId="11" xfId="3" applyFont="1" applyFill="1" applyBorder="1" applyAlignment="1">
      <alignment horizontal="center" vertical="center" wrapText="1"/>
    </xf>
    <xf numFmtId="168" fontId="80" fillId="11" borderId="4" xfId="3" applyNumberFormat="1" applyFont="1" applyFill="1" applyBorder="1" applyAlignment="1">
      <alignment horizontal="center" vertical="center" wrapText="1"/>
    </xf>
    <xf numFmtId="168" fontId="15" fillId="11" borderId="3" xfId="2" applyNumberFormat="1" applyFont="1" applyFill="1" applyBorder="1" applyAlignment="1">
      <alignment horizontal="center" vertical="center" wrapText="1"/>
    </xf>
    <xf numFmtId="10" fontId="81" fillId="0" borderId="0" xfId="5" applyNumberFormat="1" applyFont="1" applyFill="1" applyBorder="1" applyAlignment="1">
      <alignment horizontal="center" vertical="center"/>
    </xf>
    <xf numFmtId="43" fontId="11" fillId="0" borderId="0" xfId="1" applyFont="1" applyFill="1" applyAlignment="1">
      <alignment vertical="center"/>
    </xf>
    <xf numFmtId="0" fontId="33" fillId="11" borderId="4" xfId="3" applyFont="1" applyFill="1" applyBorder="1" applyAlignment="1">
      <alignment horizontal="center" vertical="center" wrapText="1"/>
    </xf>
    <xf numFmtId="169" fontId="11" fillId="0" borderId="0" xfId="0" applyNumberFormat="1" applyFont="1" applyAlignment="1">
      <alignment vertical="center"/>
    </xf>
    <xf numFmtId="0" fontId="9" fillId="0" borderId="10" xfId="3" applyFont="1" applyBorder="1" applyAlignment="1">
      <alignment horizontal="left" vertical="center" wrapText="1"/>
    </xf>
    <xf numFmtId="0" fontId="8" fillId="12" borderId="3" xfId="3" applyFont="1" applyFill="1" applyBorder="1" applyAlignment="1">
      <alignment vertical="center" wrapText="1"/>
    </xf>
    <xf numFmtId="3" fontId="57" fillId="11" borderId="3" xfId="3" applyNumberFormat="1" applyFont="1" applyFill="1" applyBorder="1" applyAlignment="1">
      <alignment horizontal="center" vertical="center" wrapText="1"/>
    </xf>
    <xf numFmtId="0" fontId="16" fillId="11" borderId="3" xfId="3" applyFont="1" applyFill="1" applyBorder="1" applyAlignment="1">
      <alignment horizontal="left" vertical="center" wrapText="1"/>
    </xf>
    <xf numFmtId="0" fontId="16" fillId="11" borderId="3" xfId="3" applyFont="1" applyFill="1" applyBorder="1" applyAlignment="1">
      <alignment horizontal="right" vertical="center" wrapText="1"/>
    </xf>
    <xf numFmtId="167" fontId="16" fillId="11" borderId="3" xfId="3" applyNumberFormat="1" applyFont="1" applyFill="1" applyBorder="1" applyAlignment="1">
      <alignment horizontal="center" vertical="center" wrapText="1"/>
    </xf>
    <xf numFmtId="3" fontId="16" fillId="11" borderId="3" xfId="3" applyNumberFormat="1" applyFont="1" applyFill="1" applyBorder="1" applyAlignment="1">
      <alignment horizontal="center" vertical="center" wrapText="1"/>
    </xf>
    <xf numFmtId="171" fontId="16" fillId="11" borderId="0" xfId="3" applyNumberFormat="1" applyFont="1" applyFill="1" applyAlignment="1">
      <alignment horizontal="center" vertical="center" wrapText="1"/>
    </xf>
    <xf numFmtId="0" fontId="35" fillId="0" borderId="0" xfId="0" applyFont="1" applyAlignment="1">
      <alignment horizontal="right" vertical="center" wrapText="1"/>
    </xf>
    <xf numFmtId="0" fontId="27" fillId="0" borderId="0" xfId="0" applyFont="1" applyAlignment="1">
      <alignment vertical="center"/>
    </xf>
    <xf numFmtId="167" fontId="27" fillId="0" borderId="0" xfId="0" applyNumberFormat="1" applyFont="1" applyAlignment="1">
      <alignment vertical="center"/>
    </xf>
    <xf numFmtId="0" fontId="16" fillId="18" borderId="3" xfId="3" applyFont="1" applyFill="1" applyBorder="1" applyAlignment="1">
      <alignment horizontal="right" vertical="center" wrapText="1"/>
    </xf>
    <xf numFmtId="167" fontId="16" fillId="18" borderId="3" xfId="3" applyNumberFormat="1" applyFont="1" applyFill="1" applyBorder="1" applyAlignment="1">
      <alignment horizontal="center" vertical="center" wrapText="1"/>
    </xf>
    <xf numFmtId="3" fontId="16" fillId="0" borderId="3" xfId="3" applyNumberFormat="1" applyFont="1" applyBorder="1" applyAlignment="1">
      <alignment horizontal="center" vertical="center" wrapText="1"/>
    </xf>
    <xf numFmtId="0" fontId="14" fillId="0" borderId="0" xfId="0" applyFont="1" applyAlignment="1">
      <alignment wrapText="1"/>
    </xf>
    <xf numFmtId="43" fontId="14" fillId="0" borderId="0" xfId="1" applyFont="1" applyFill="1"/>
    <xf numFmtId="43" fontId="14" fillId="0" borderId="0" xfId="1" applyFont="1"/>
    <xf numFmtId="0" fontId="14"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vertical="center"/>
    </xf>
    <xf numFmtId="43" fontId="82" fillId="10" borderId="23" xfId="1" applyFont="1" applyFill="1" applyBorder="1" applyAlignment="1">
      <alignment vertical="center" wrapText="1"/>
    </xf>
    <xf numFmtId="0" fontId="83" fillId="0" borderId="0" xfId="0" applyFont="1" applyAlignment="1">
      <alignment horizontal="left" vertical="center"/>
    </xf>
    <xf numFmtId="0" fontId="84" fillId="0" borderId="0" xfId="0" applyFont="1" applyAlignment="1">
      <alignment vertical="center"/>
    </xf>
    <xf numFmtId="0" fontId="84" fillId="0" borderId="0" xfId="0" applyFont="1" applyAlignment="1">
      <alignment horizontal="center" vertical="center"/>
    </xf>
    <xf numFmtId="43" fontId="85" fillId="10" borderId="23" xfId="1" applyFont="1" applyFill="1" applyBorder="1" applyAlignment="1">
      <alignment vertical="center" wrapText="1"/>
    </xf>
    <xf numFmtId="43" fontId="85" fillId="10" borderId="25" xfId="1" applyFont="1" applyFill="1" applyBorder="1" applyAlignment="1">
      <alignment vertical="center" wrapText="1"/>
    </xf>
    <xf numFmtId="43" fontId="85" fillId="10" borderId="0" xfId="1" applyFont="1" applyFill="1" applyAlignment="1">
      <alignment vertical="center" wrapText="1"/>
    </xf>
    <xf numFmtId="43" fontId="85" fillId="22" borderId="25" xfId="1" applyFont="1" applyFill="1" applyBorder="1" applyAlignment="1">
      <alignment vertical="center" wrapText="1"/>
    </xf>
    <xf numFmtId="43" fontId="85" fillId="21" borderId="25" xfId="1" applyFont="1" applyFill="1" applyBorder="1" applyAlignment="1">
      <alignment vertical="center" wrapText="1"/>
    </xf>
    <xf numFmtId="43" fontId="11" fillId="0" borderId="27" xfId="1" applyFont="1" applyFill="1" applyBorder="1" applyAlignment="1">
      <alignment vertical="center"/>
    </xf>
    <xf numFmtId="43" fontId="11" fillId="0" borderId="28" xfId="1" applyFont="1" applyFill="1" applyBorder="1" applyAlignment="1">
      <alignment vertical="center" wrapText="1"/>
    </xf>
    <xf numFmtId="43" fontId="11" fillId="0" borderId="29" xfId="1" applyFont="1" applyFill="1" applyBorder="1" applyAlignment="1">
      <alignment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179" fontId="14" fillId="9" borderId="31" xfId="1" applyNumberFormat="1" applyFont="1" applyFill="1" applyBorder="1" applyAlignment="1">
      <alignment vertical="center"/>
    </xf>
    <xf numFmtId="180" fontId="14" fillId="9" borderId="31" xfId="1" applyNumberFormat="1" applyFont="1" applyFill="1" applyBorder="1" applyAlignment="1">
      <alignment vertical="center"/>
    </xf>
    <xf numFmtId="180" fontId="86" fillId="0" borderId="31" xfId="1" applyNumberFormat="1" applyFont="1" applyBorder="1" applyAlignment="1">
      <alignment vertical="center"/>
    </xf>
    <xf numFmtId="180" fontId="14" fillId="23" borderId="31" xfId="1" applyNumberFormat="1" applyFont="1" applyFill="1" applyBorder="1" applyAlignment="1">
      <alignment vertical="center"/>
    </xf>
    <xf numFmtId="180" fontId="57" fillId="0" borderId="31" xfId="1" applyNumberFormat="1" applyFont="1" applyBorder="1" applyAlignment="1">
      <alignment vertical="center"/>
    </xf>
    <xf numFmtId="180" fontId="57" fillId="0" borderId="32" xfId="1" applyNumberFormat="1" applyFont="1" applyBorder="1" applyAlignment="1">
      <alignment vertical="center"/>
    </xf>
    <xf numFmtId="43" fontId="82" fillId="4" borderId="34" xfId="1" applyFont="1" applyFill="1" applyBorder="1" applyAlignment="1">
      <alignment vertical="center" wrapText="1"/>
    </xf>
    <xf numFmtId="43" fontId="82" fillId="10" borderId="25" xfId="1" applyFont="1" applyFill="1" applyBorder="1" applyAlignment="1">
      <alignment vertical="center" wrapText="1"/>
    </xf>
    <xf numFmtId="43" fontId="82" fillId="21" borderId="35" xfId="1" applyFont="1" applyFill="1" applyBorder="1" applyAlignment="1">
      <alignment vertical="center" wrapText="1"/>
    </xf>
    <xf numFmtId="0" fontId="14" fillId="0" borderId="36" xfId="0" applyFont="1" applyBorder="1" applyAlignment="1">
      <alignment horizontal="center" vertical="center" wrapText="1"/>
    </xf>
    <xf numFmtId="0" fontId="14" fillId="0" borderId="0" xfId="0" applyFont="1" applyAlignment="1">
      <alignment horizontal="center" vertical="center" wrapText="1"/>
    </xf>
    <xf numFmtId="179" fontId="14" fillId="9" borderId="0" xfId="1" applyNumberFormat="1" applyFont="1" applyFill="1" applyBorder="1" applyAlignment="1">
      <alignment vertical="center"/>
    </xf>
    <xf numFmtId="180" fontId="14" fillId="9" borderId="0" xfId="1" applyNumberFormat="1" applyFont="1" applyFill="1" applyBorder="1" applyAlignment="1">
      <alignment vertical="center"/>
    </xf>
    <xf numFmtId="180" fontId="86" fillId="0" borderId="0" xfId="1" applyNumberFormat="1" applyFont="1" applyBorder="1" applyAlignment="1">
      <alignment vertical="center"/>
    </xf>
    <xf numFmtId="180" fontId="14" fillId="23" borderId="0" xfId="1" applyNumberFormat="1" applyFont="1" applyFill="1" applyBorder="1" applyAlignment="1">
      <alignment vertical="center"/>
    </xf>
    <xf numFmtId="180" fontId="57" fillId="0" borderId="0" xfId="1" applyNumberFormat="1" applyFont="1" applyBorder="1" applyAlignment="1">
      <alignment vertical="center"/>
    </xf>
    <xf numFmtId="180" fontId="57" fillId="0" borderId="37" xfId="1" applyNumberFormat="1" applyFont="1" applyBorder="1" applyAlignment="1">
      <alignment vertical="center"/>
    </xf>
    <xf numFmtId="43" fontId="82" fillId="4" borderId="38" xfId="1" applyFont="1" applyFill="1" applyBorder="1" applyAlignment="1">
      <alignment vertical="center" wrapText="1"/>
    </xf>
    <xf numFmtId="43" fontId="82" fillId="10" borderId="39" xfId="1" applyFont="1" applyFill="1" applyBorder="1" applyAlignment="1">
      <alignment vertical="center" wrapText="1"/>
    </xf>
    <xf numFmtId="43" fontId="82" fillId="21" borderId="40" xfId="1" applyFont="1" applyFill="1" applyBorder="1" applyAlignment="1">
      <alignment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179" fontId="14" fillId="9" borderId="42" xfId="1" applyNumberFormat="1" applyFont="1" applyFill="1" applyBorder="1" applyAlignment="1">
      <alignment vertical="center"/>
    </xf>
    <xf numFmtId="180" fontId="14" fillId="9" borderId="42" xfId="1" applyNumberFormat="1" applyFont="1" applyFill="1" applyBorder="1" applyAlignment="1">
      <alignment vertical="center"/>
    </xf>
    <xf numFmtId="180" fontId="86" fillId="0" borderId="42" xfId="1" applyNumberFormat="1" applyFont="1" applyBorder="1" applyAlignment="1">
      <alignment vertical="center"/>
    </xf>
    <xf numFmtId="180" fontId="14" fillId="23" borderId="42" xfId="1" applyNumberFormat="1" applyFont="1" applyFill="1" applyBorder="1" applyAlignment="1">
      <alignment vertical="center"/>
    </xf>
    <xf numFmtId="180" fontId="57" fillId="0" borderId="42" xfId="1" applyNumberFormat="1" applyFont="1" applyBorder="1" applyAlignment="1">
      <alignment vertical="center"/>
    </xf>
    <xf numFmtId="180" fontId="57" fillId="0" borderId="43" xfId="1" applyNumberFormat="1" applyFont="1" applyBorder="1" applyAlignment="1">
      <alignment vertical="center"/>
    </xf>
    <xf numFmtId="43" fontId="12" fillId="0" borderId="28" xfId="1" applyFont="1" applyFill="1" applyBorder="1" applyAlignment="1">
      <alignment vertical="center" wrapText="1"/>
    </xf>
    <xf numFmtId="43" fontId="12" fillId="0" borderId="29" xfId="1" applyFont="1" applyFill="1" applyBorder="1" applyAlignment="1">
      <alignment vertical="center" wrapText="1"/>
    </xf>
    <xf numFmtId="43" fontId="82" fillId="4" borderId="27" xfId="1" applyFont="1" applyFill="1" applyBorder="1" applyAlignment="1">
      <alignment vertical="center"/>
    </xf>
    <xf numFmtId="43" fontId="82" fillId="10" borderId="28" xfId="1" applyFont="1" applyFill="1" applyBorder="1" applyAlignment="1">
      <alignment vertical="center" wrapText="1"/>
    </xf>
    <xf numFmtId="43" fontId="82" fillId="21" borderId="29" xfId="1" applyFont="1" applyFill="1" applyBorder="1" applyAlignment="1">
      <alignment vertical="center" wrapText="1"/>
    </xf>
    <xf numFmtId="43" fontId="82" fillId="4" borderId="34" xfId="1" quotePrefix="1" applyFont="1" applyFill="1" applyBorder="1" applyAlignment="1">
      <alignment vertical="center" wrapText="1"/>
    </xf>
    <xf numFmtId="43" fontId="11" fillId="6" borderId="27" xfId="1" applyFont="1" applyFill="1" applyBorder="1" applyAlignment="1">
      <alignment vertical="center"/>
    </xf>
    <xf numFmtId="43" fontId="11" fillId="6" borderId="28" xfId="1" applyFont="1" applyFill="1" applyBorder="1" applyAlignment="1">
      <alignment vertical="center" wrapText="1"/>
    </xf>
    <xf numFmtId="43" fontId="11" fillId="6" borderId="29" xfId="1" applyFont="1" applyFill="1" applyBorder="1" applyAlignment="1">
      <alignment vertical="center" wrapText="1"/>
    </xf>
    <xf numFmtId="180" fontId="14" fillId="24" borderId="31" xfId="1" applyNumberFormat="1" applyFont="1" applyFill="1" applyBorder="1" applyAlignment="1">
      <alignment vertical="center"/>
    </xf>
    <xf numFmtId="43" fontId="12" fillId="6" borderId="28" xfId="1" applyFont="1" applyFill="1" applyBorder="1" applyAlignment="1">
      <alignment vertical="center" wrapText="1"/>
    </xf>
    <xf numFmtId="43" fontId="12" fillId="6" borderId="29" xfId="1" applyFont="1" applyFill="1" applyBorder="1" applyAlignment="1">
      <alignment vertical="center" wrapText="1"/>
    </xf>
    <xf numFmtId="0" fontId="14" fillId="24" borderId="30" xfId="0" applyFont="1" applyFill="1" applyBorder="1" applyAlignment="1">
      <alignment horizontal="center" vertical="center" wrapText="1"/>
    </xf>
    <xf numFmtId="0" fontId="14" fillId="24" borderId="31" xfId="0" applyFont="1" applyFill="1" applyBorder="1" applyAlignment="1">
      <alignment horizontal="center" vertical="center" wrapText="1"/>
    </xf>
    <xf numFmtId="179" fontId="14" fillId="24" borderId="31" xfId="1" applyNumberFormat="1" applyFont="1" applyFill="1" applyBorder="1" applyAlignment="1">
      <alignment vertical="center"/>
    </xf>
    <xf numFmtId="180" fontId="86" fillId="24" borderId="31" xfId="1" applyNumberFormat="1" applyFont="1" applyFill="1" applyBorder="1" applyAlignment="1">
      <alignment vertical="center"/>
    </xf>
    <xf numFmtId="0" fontId="14" fillId="0" borderId="45" xfId="0" applyFont="1" applyBorder="1" applyAlignment="1">
      <alignment horizontal="left" vertical="center" wrapText="1"/>
    </xf>
    <xf numFmtId="0" fontId="14" fillId="0" borderId="47" xfId="0" applyFont="1" applyBorder="1" applyAlignment="1">
      <alignment horizontal="center" vertical="center"/>
    </xf>
    <xf numFmtId="0" fontId="14" fillId="0" borderId="47" xfId="0" applyFont="1" applyBorder="1" applyAlignment="1">
      <alignment horizontal="center" vertical="center" wrapText="1"/>
    </xf>
    <xf numFmtId="179" fontId="14" fillId="9" borderId="47" xfId="1" applyNumberFormat="1" applyFont="1" applyFill="1" applyBorder="1" applyAlignment="1">
      <alignment vertical="center"/>
    </xf>
    <xf numFmtId="180" fontId="86" fillId="0" borderId="47" xfId="1" applyNumberFormat="1" applyFont="1" applyBorder="1" applyAlignment="1">
      <alignment vertical="center"/>
    </xf>
    <xf numFmtId="180" fontId="14" fillId="9" borderId="47" xfId="1" applyNumberFormat="1" applyFont="1" applyFill="1" applyBorder="1" applyAlignment="1">
      <alignment vertical="center"/>
    </xf>
    <xf numFmtId="180" fontId="14" fillId="23" borderId="47" xfId="1" applyNumberFormat="1" applyFont="1" applyFill="1" applyBorder="1" applyAlignment="1">
      <alignment vertical="center"/>
    </xf>
    <xf numFmtId="180" fontId="57" fillId="0" borderId="47" xfId="1" applyNumberFormat="1" applyFont="1" applyBorder="1" applyAlignment="1">
      <alignment vertical="center"/>
    </xf>
    <xf numFmtId="180" fontId="57" fillId="0" borderId="48" xfId="1" applyNumberFormat="1" applyFont="1" applyBorder="1" applyAlignment="1">
      <alignment vertical="center"/>
    </xf>
    <xf numFmtId="0" fontId="14" fillId="0" borderId="31" xfId="0" applyFont="1" applyBorder="1" applyAlignment="1">
      <alignment horizontal="center" vertical="center"/>
    </xf>
    <xf numFmtId="0" fontId="14" fillId="0" borderId="42" xfId="0" applyFont="1" applyBorder="1" applyAlignment="1">
      <alignment horizontal="center" vertical="center"/>
    </xf>
    <xf numFmtId="0" fontId="14" fillId="0" borderId="45" xfId="0" applyFont="1" applyBorder="1" applyAlignment="1">
      <alignment vertical="center" wrapText="1"/>
    </xf>
    <xf numFmtId="180" fontId="86" fillId="24" borderId="47" xfId="1" applyNumberFormat="1" applyFont="1" applyFill="1" applyBorder="1" applyAlignment="1">
      <alignment vertical="center"/>
    </xf>
    <xf numFmtId="0" fontId="28" fillId="8" borderId="8" xfId="0" applyFont="1" applyFill="1" applyBorder="1" applyAlignment="1">
      <alignment horizontal="center" vertical="center" wrapText="1"/>
    </xf>
    <xf numFmtId="0" fontId="7" fillId="8" borderId="3" xfId="0" applyFont="1" applyFill="1" applyBorder="1" applyAlignment="1">
      <alignment horizontal="center" vertical="center" wrapText="1"/>
    </xf>
    <xf numFmtId="43" fontId="7" fillId="8" borderId="3" xfId="1" applyFont="1" applyFill="1" applyBorder="1" applyAlignment="1">
      <alignment horizontal="center" vertical="center" wrapText="1"/>
    </xf>
    <xf numFmtId="0" fontId="9" fillId="0" borderId="3" xfId="0" applyFont="1" applyBorder="1" applyAlignment="1">
      <alignment horizontal="center" vertical="center" wrapText="1"/>
    </xf>
    <xf numFmtId="43" fontId="29" fillId="0" borderId="3" xfId="1" applyFont="1" applyFill="1" applyBorder="1" applyAlignment="1">
      <alignment horizontal="center" vertical="center" wrapText="1"/>
    </xf>
    <xf numFmtId="0" fontId="28" fillId="8" borderId="0" xfId="0" applyFont="1" applyFill="1" applyAlignment="1">
      <alignment horizontal="center" vertical="center" wrapText="1"/>
    </xf>
    <xf numFmtId="0" fontId="88" fillId="0" borderId="0" xfId="0" applyFont="1"/>
    <xf numFmtId="180" fontId="86" fillId="24" borderId="48" xfId="1" applyNumberFormat="1" applyFont="1" applyFill="1" applyBorder="1" applyAlignment="1">
      <alignment vertical="center"/>
    </xf>
    <xf numFmtId="0" fontId="89" fillId="0" borderId="0" xfId="0" applyFont="1"/>
    <xf numFmtId="10" fontId="90" fillId="0" borderId="0" xfId="0" applyNumberFormat="1" applyFont="1" applyAlignment="1">
      <alignment horizontal="center"/>
    </xf>
    <xf numFmtId="0" fontId="0" fillId="0" borderId="50" xfId="0" applyBorder="1"/>
    <xf numFmtId="0" fontId="9" fillId="0" borderId="5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5" xfId="0" applyFont="1" applyBorder="1" applyAlignment="1">
      <alignment horizontal="center" vertical="center" wrapText="1"/>
    </xf>
    <xf numFmtId="0" fontId="91" fillId="0" borderId="0" xfId="0" applyFont="1" applyAlignment="1">
      <alignment vertical="center"/>
    </xf>
    <xf numFmtId="0" fontId="7" fillId="8" borderId="51" xfId="0" applyFont="1" applyFill="1" applyBorder="1" applyAlignment="1">
      <alignment horizontal="center" vertical="center" wrapText="1"/>
    </xf>
    <xf numFmtId="0" fontId="7" fillId="8" borderId="52"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7" fillId="8" borderId="53" xfId="0" applyFont="1" applyFill="1" applyBorder="1" applyAlignment="1">
      <alignment horizontal="center" vertical="center" wrapText="1"/>
    </xf>
    <xf numFmtId="0" fontId="7" fillId="8" borderId="57" xfId="0" applyFont="1" applyFill="1" applyBorder="1" applyAlignment="1">
      <alignment horizontal="center" vertical="center" wrapText="1"/>
    </xf>
    <xf numFmtId="0" fontId="7" fillId="8" borderId="58" xfId="0" applyFont="1" applyFill="1" applyBorder="1" applyAlignment="1">
      <alignment horizontal="center" vertical="center" wrapText="1"/>
    </xf>
    <xf numFmtId="2" fontId="29" fillId="25" borderId="3" xfId="0" applyNumberFormat="1" applyFont="1" applyFill="1" applyBorder="1" applyAlignment="1">
      <alignment horizontal="center" vertical="center" wrapText="1"/>
    </xf>
    <xf numFmtId="2" fontId="29" fillId="0" borderId="3" xfId="0" applyNumberFormat="1" applyFont="1" applyBorder="1" applyAlignment="1">
      <alignment horizontal="center" vertical="center" wrapText="1"/>
    </xf>
    <xf numFmtId="0" fontId="9" fillId="26" borderId="3" xfId="0" applyFont="1" applyFill="1" applyBorder="1" applyAlignment="1">
      <alignment horizontal="center" vertical="center" wrapText="1"/>
    </xf>
    <xf numFmtId="2" fontId="29" fillId="26" borderId="3" xfId="0" applyNumberFormat="1"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59" xfId="0" applyFont="1" applyFill="1" applyBorder="1" applyAlignment="1">
      <alignment horizontal="center" vertical="center" wrapText="1"/>
    </xf>
    <xf numFmtId="0" fontId="0" fillId="0" borderId="0" xfId="0" quotePrefix="1"/>
    <xf numFmtId="0" fontId="91" fillId="0" borderId="0" xfId="0" applyFont="1" applyAlignment="1">
      <alignment vertical="center" wrapText="1"/>
    </xf>
    <xf numFmtId="0" fontId="7" fillId="8" borderId="60" xfId="0" applyFont="1" applyFill="1" applyBorder="1" applyAlignment="1">
      <alignment horizontal="center" vertical="center" wrapText="1"/>
    </xf>
    <xf numFmtId="0" fontId="28" fillId="8" borderId="62" xfId="0" applyFont="1" applyFill="1" applyBorder="1" applyAlignment="1">
      <alignment horizontal="center" vertical="center" wrapText="1"/>
    </xf>
    <xf numFmtId="0" fontId="28" fillId="8" borderId="61" xfId="0" applyFont="1" applyFill="1" applyBorder="1" applyAlignment="1">
      <alignment horizontal="center" vertical="center" wrapText="1"/>
    </xf>
    <xf numFmtId="0" fontId="28" fillId="8" borderId="63" xfId="0" applyFont="1" applyFill="1" applyBorder="1" applyAlignment="1">
      <alignment vertical="center" wrapText="1"/>
    </xf>
    <xf numFmtId="0" fontId="7" fillId="8" borderId="68" xfId="0" applyFont="1" applyFill="1" applyBorder="1" applyAlignment="1">
      <alignment horizontal="center" vertical="center" wrapText="1"/>
    </xf>
    <xf numFmtId="0" fontId="7" fillId="8" borderId="69" xfId="0" applyFont="1" applyFill="1" applyBorder="1" applyAlignment="1">
      <alignment horizontal="center" vertical="center" wrapText="1"/>
    </xf>
    <xf numFmtId="0" fontId="7" fillId="8" borderId="70" xfId="0" applyFont="1" applyFill="1" applyBorder="1" applyAlignment="1">
      <alignment horizontal="center" vertical="center" wrapText="1"/>
    </xf>
    <xf numFmtId="2" fontId="9" fillId="0" borderId="3" xfId="0" applyNumberFormat="1" applyFont="1" applyBorder="1" applyAlignment="1">
      <alignment horizontal="center" vertical="center" wrapText="1"/>
    </xf>
    <xf numFmtId="2" fontId="0" fillId="0" borderId="0" xfId="0" applyNumberFormat="1"/>
    <xf numFmtId="165" fontId="11" fillId="0" borderId="0" xfId="2" applyNumberFormat="1" applyFont="1" applyAlignment="1">
      <alignment vertical="center"/>
    </xf>
    <xf numFmtId="0" fontId="7" fillId="27" borderId="71" xfId="0" applyFont="1" applyFill="1" applyBorder="1" applyAlignment="1">
      <alignment horizontal="center" vertical="center" wrapText="1"/>
    </xf>
    <xf numFmtId="0" fontId="8" fillId="27" borderId="72" xfId="0" applyFont="1" applyFill="1" applyBorder="1" applyAlignment="1">
      <alignment horizontal="center" vertical="center" wrapText="1"/>
    </xf>
    <xf numFmtId="0" fontId="8" fillId="27" borderId="73" xfId="0" applyFont="1" applyFill="1" applyBorder="1" applyAlignment="1">
      <alignment horizontal="center" vertical="center" wrapText="1"/>
    </xf>
    <xf numFmtId="0" fontId="7" fillId="27" borderId="74" xfId="0" applyFont="1" applyFill="1" applyBorder="1" applyAlignment="1">
      <alignment horizontal="center" vertical="center" wrapText="1"/>
    </xf>
    <xf numFmtId="0" fontId="9" fillId="0" borderId="75" xfId="3" applyFont="1" applyBorder="1" applyAlignment="1">
      <alignment horizontal="center" vertical="center" wrapText="1"/>
    </xf>
    <xf numFmtId="0" fontId="10" fillId="2" borderId="75" xfId="3" applyFont="1" applyFill="1" applyBorder="1" applyAlignment="1">
      <alignment horizontal="center" vertical="center" wrapText="1"/>
    </xf>
    <xf numFmtId="0" fontId="11" fillId="3" borderId="75" xfId="3" applyFont="1" applyFill="1" applyBorder="1" applyAlignment="1">
      <alignment horizontal="left" vertical="center" wrapText="1"/>
    </xf>
    <xf numFmtId="0" fontId="13" fillId="3" borderId="75" xfId="3" applyFont="1" applyFill="1" applyBorder="1" applyAlignment="1">
      <alignment horizontal="center" vertical="center" wrapText="1"/>
    </xf>
    <xf numFmtId="0" fontId="14" fillId="4" borderId="75" xfId="3" applyFont="1" applyFill="1" applyBorder="1" applyAlignment="1">
      <alignment horizontal="center" vertical="center" wrapText="1"/>
    </xf>
    <xf numFmtId="0" fontId="11" fillId="5" borderId="75" xfId="3" applyFont="1" applyFill="1" applyBorder="1" applyAlignment="1">
      <alignment horizontal="left" vertical="center" wrapText="1"/>
    </xf>
    <xf numFmtId="0" fontId="13" fillId="5" borderId="75" xfId="3" applyFont="1" applyFill="1" applyBorder="1" applyAlignment="1">
      <alignment horizontal="center" vertical="center" wrapText="1"/>
    </xf>
    <xf numFmtId="0" fontId="10" fillId="28" borderId="75" xfId="3" applyFont="1" applyFill="1" applyBorder="1" applyAlignment="1">
      <alignment horizontal="center" vertical="center" wrapText="1"/>
    </xf>
    <xf numFmtId="0" fontId="11" fillId="29" borderId="75" xfId="3" applyFont="1" applyFill="1" applyBorder="1" applyAlignment="1">
      <alignment horizontal="left" vertical="center" wrapText="1"/>
    </xf>
    <xf numFmtId="0" fontId="13" fillId="29" borderId="75" xfId="3" applyFont="1" applyFill="1" applyBorder="1" applyAlignment="1">
      <alignment horizontal="center" vertical="center" wrapText="1"/>
    </xf>
    <xf numFmtId="0" fontId="10" fillId="21" borderId="75" xfId="3" applyFont="1" applyFill="1" applyBorder="1" applyAlignment="1">
      <alignment horizontal="center" vertical="center" wrapText="1"/>
    </xf>
    <xf numFmtId="0" fontId="11" fillId="30" borderId="75" xfId="3" applyFont="1" applyFill="1" applyBorder="1" applyAlignment="1">
      <alignment horizontal="left" vertical="center" wrapText="1"/>
    </xf>
    <xf numFmtId="0" fontId="13" fillId="30" borderId="75" xfId="3" applyFont="1" applyFill="1" applyBorder="1" applyAlignment="1">
      <alignment horizontal="center" vertical="center" wrapText="1"/>
    </xf>
    <xf numFmtId="0" fontId="17" fillId="21" borderId="75" xfId="0" applyFont="1" applyFill="1" applyBorder="1" applyAlignment="1">
      <alignment horizontal="center" vertical="center" wrapText="1"/>
    </xf>
    <xf numFmtId="0" fontId="8" fillId="27" borderId="76" xfId="3" applyFont="1" applyFill="1" applyBorder="1" applyAlignment="1">
      <alignment horizontal="center" vertical="center" wrapText="1"/>
    </xf>
    <xf numFmtId="0" fontId="8" fillId="27" borderId="77" xfId="3" applyFont="1" applyFill="1" applyBorder="1" applyAlignment="1">
      <alignment horizontal="center" vertical="center" wrapText="1"/>
    </xf>
    <xf numFmtId="0" fontId="8" fillId="27" borderId="78" xfId="3" applyFont="1" applyFill="1" applyBorder="1" applyAlignment="1">
      <alignment horizontal="center" vertical="center" wrapText="1"/>
    </xf>
    <xf numFmtId="0" fontId="14" fillId="0" borderId="75" xfId="3" applyFont="1" applyBorder="1" applyAlignment="1">
      <alignment horizontal="left" vertical="center" wrapText="1"/>
    </xf>
    <xf numFmtId="0" fontId="14" fillId="5" borderId="75" xfId="3" applyFont="1" applyFill="1" applyBorder="1" applyAlignment="1">
      <alignment horizontal="center" vertical="center" wrapText="1"/>
    </xf>
    <xf numFmtId="0" fontId="14" fillId="0" borderId="75" xfId="3" applyFont="1" applyBorder="1" applyAlignment="1">
      <alignment horizontal="center" vertical="center" wrapText="1"/>
    </xf>
    <xf numFmtId="0" fontId="14" fillId="7" borderId="75" xfId="3" applyFont="1" applyFill="1" applyBorder="1" applyAlignment="1">
      <alignment horizontal="center" vertical="center" wrapText="1"/>
    </xf>
    <xf numFmtId="0" fontId="9" fillId="0" borderId="3" xfId="3" applyFont="1" applyBorder="1" applyAlignment="1">
      <alignment horizontal="center" vertical="center" wrapText="1"/>
    </xf>
    <xf numFmtId="3" fontId="9" fillId="0" borderId="3" xfId="3" applyNumberFormat="1" applyFont="1" applyBorder="1" applyAlignment="1">
      <alignment horizontal="center" vertical="center" wrapText="1"/>
    </xf>
    <xf numFmtId="1" fontId="59" fillId="0" borderId="3" xfId="0" applyNumberFormat="1" applyFont="1" applyBorder="1" applyAlignment="1">
      <alignment horizontal="center" vertical="center"/>
    </xf>
    <xf numFmtId="1" fontId="59" fillId="19" borderId="3" xfId="0" applyNumberFormat="1" applyFont="1" applyFill="1" applyBorder="1" applyAlignment="1">
      <alignment horizontal="center" vertical="center"/>
    </xf>
    <xf numFmtId="170" fontId="59" fillId="0" borderId="3" xfId="0" applyNumberFormat="1" applyFont="1" applyBorder="1" applyAlignment="1">
      <alignment horizontal="center" vertical="center"/>
    </xf>
    <xf numFmtId="0" fontId="34" fillId="0" borderId="2" xfId="3" applyFont="1" applyBorder="1" applyAlignment="1">
      <alignment horizontal="right" vertical="center" wrapText="1"/>
    </xf>
    <xf numFmtId="166" fontId="34" fillId="0" borderId="2" xfId="3" applyNumberFormat="1" applyFont="1" applyBorder="1" applyAlignment="1">
      <alignment horizontal="center" vertical="center" wrapText="1"/>
    </xf>
    <xf numFmtId="0" fontId="11" fillId="0" borderId="11" xfId="0" applyFont="1" applyBorder="1" applyAlignment="1">
      <alignment vertical="center"/>
    </xf>
    <xf numFmtId="169" fontId="33" fillId="0" borderId="3" xfId="3" applyNumberFormat="1" applyFont="1" applyBorder="1" applyAlignment="1">
      <alignment horizontal="center" vertical="center" wrapText="1"/>
    </xf>
    <xf numFmtId="168" fontId="15" fillId="0" borderId="3" xfId="2" applyNumberFormat="1" applyFont="1" applyFill="1" applyBorder="1" applyAlignment="1">
      <alignment horizontal="center" vertical="center" wrapText="1"/>
    </xf>
    <xf numFmtId="0" fontId="16" fillId="0" borderId="3" xfId="3" applyFont="1" applyBorder="1" applyAlignment="1">
      <alignment horizontal="left" vertical="center" wrapText="1"/>
    </xf>
    <xf numFmtId="0" fontId="13" fillId="0" borderId="3" xfId="3" applyFont="1" applyBorder="1" applyAlignment="1">
      <alignment horizontal="left" vertical="center" wrapText="1"/>
    </xf>
    <xf numFmtId="3" fontId="11" fillId="0" borderId="0" xfId="0" applyNumberFormat="1" applyFont="1" applyAlignment="1">
      <alignment horizontal="right" vertical="center"/>
    </xf>
    <xf numFmtId="166" fontId="33" fillId="11" borderId="11" xfId="3" applyNumberFormat="1" applyFont="1" applyFill="1" applyBorder="1" applyAlignment="1">
      <alignment horizontal="center" vertical="center" wrapText="1"/>
    </xf>
    <xf numFmtId="169" fontId="33" fillId="11" borderId="4" xfId="3" applyNumberFormat="1" applyFont="1" applyFill="1" applyBorder="1" applyAlignment="1">
      <alignment horizontal="center" vertical="center" wrapText="1"/>
    </xf>
    <xf numFmtId="3" fontId="9" fillId="11" borderId="11" xfId="3" applyNumberFormat="1" applyFont="1" applyFill="1" applyBorder="1" applyAlignment="1">
      <alignment horizontal="center" vertical="center" wrapText="1"/>
    </xf>
    <xf numFmtId="3" fontId="9" fillId="11" borderId="18" xfId="3" applyNumberFormat="1" applyFont="1" applyFill="1" applyBorder="1" applyAlignment="1">
      <alignment horizontal="center" vertical="center" wrapText="1"/>
    </xf>
    <xf numFmtId="180" fontId="86" fillId="0" borderId="47" xfId="1" applyNumberFormat="1" applyFont="1" applyFill="1" applyBorder="1" applyAlignment="1">
      <alignment vertical="center"/>
    </xf>
    <xf numFmtId="180" fontId="86" fillId="0" borderId="31" xfId="1" applyNumberFormat="1" applyFont="1" applyFill="1" applyBorder="1" applyAlignment="1">
      <alignment vertical="center"/>
    </xf>
    <xf numFmtId="180" fontId="86" fillId="0" borderId="42" xfId="1" applyNumberFormat="1" applyFont="1" applyFill="1" applyBorder="1" applyAlignment="1">
      <alignment vertical="center"/>
    </xf>
    <xf numFmtId="180" fontId="86" fillId="0" borderId="0" xfId="1" applyNumberFormat="1" applyFont="1" applyFill="1" applyBorder="1" applyAlignment="1">
      <alignment vertical="center"/>
    </xf>
    <xf numFmtId="0" fontId="33" fillId="0" borderId="10" xfId="3" applyFont="1" applyBorder="1" applyAlignment="1">
      <alignment horizontal="left" vertical="center" wrapText="1"/>
    </xf>
    <xf numFmtId="0" fontId="14" fillId="0" borderId="36" xfId="0" applyFont="1" applyBorder="1" applyAlignment="1">
      <alignment horizontal="left" vertical="center" wrapText="1"/>
    </xf>
    <xf numFmtId="170" fontId="18" fillId="13" borderId="0" xfId="0" applyNumberFormat="1" applyFont="1" applyFill="1" applyAlignment="1">
      <alignment vertical="center"/>
    </xf>
    <xf numFmtId="1" fontId="59" fillId="6" borderId="3" xfId="0" applyNumberFormat="1" applyFont="1" applyFill="1" applyBorder="1" applyAlignment="1">
      <alignment horizontal="center" vertical="center"/>
    </xf>
    <xf numFmtId="0" fontId="9" fillId="31" borderId="3" xfId="0" applyFont="1" applyFill="1" applyBorder="1" applyAlignment="1">
      <alignment horizontal="center" vertical="center" wrapText="1"/>
    </xf>
    <xf numFmtId="43" fontId="29" fillId="31" borderId="3" xfId="1" applyFont="1" applyFill="1" applyBorder="1" applyAlignment="1">
      <alignment horizontal="center" vertical="center" wrapText="1"/>
    </xf>
    <xf numFmtId="3" fontId="11" fillId="0" borderId="0" xfId="0" applyNumberFormat="1" applyFont="1" applyAlignment="1">
      <alignment vertical="center"/>
    </xf>
    <xf numFmtId="167" fontId="13" fillId="17" borderId="3" xfId="3" applyNumberFormat="1" applyFont="1" applyFill="1" applyBorder="1" applyAlignment="1">
      <alignment horizontal="center" vertical="center" wrapText="1"/>
    </xf>
    <xf numFmtId="3" fontId="40" fillId="0" borderId="0" xfId="0" applyNumberFormat="1" applyFont="1" applyAlignment="1">
      <alignment vertical="center"/>
    </xf>
    <xf numFmtId="3" fontId="18" fillId="0" borderId="0" xfId="0" applyNumberFormat="1" applyFont="1" applyAlignment="1">
      <alignment vertical="center"/>
    </xf>
    <xf numFmtId="3" fontId="12" fillId="0" borderId="0" xfId="0" applyNumberFormat="1" applyFont="1" applyAlignment="1">
      <alignment vertical="center"/>
    </xf>
    <xf numFmtId="167" fontId="18" fillId="0" borderId="0" xfId="0" applyNumberFormat="1" applyFont="1" applyAlignment="1">
      <alignment vertical="center"/>
    </xf>
    <xf numFmtId="3" fontId="14" fillId="0" borderId="3" xfId="3" applyNumberFormat="1" applyFont="1" applyBorder="1" applyAlignment="1">
      <alignment horizontal="center" vertical="center" wrapText="1"/>
    </xf>
    <xf numFmtId="0" fontId="89" fillId="0" borderId="0" xfId="0" applyFont="1" applyAlignment="1">
      <alignment horizontal="center"/>
    </xf>
    <xf numFmtId="0" fontId="3" fillId="0" borderId="0" xfId="0" applyFont="1" applyAlignment="1">
      <alignment horizontal="left" vertical="center" wrapText="1"/>
    </xf>
    <xf numFmtId="0" fontId="14" fillId="0" borderId="75" xfId="3" applyFont="1" applyBorder="1" applyAlignment="1">
      <alignment horizontal="center" vertical="center" wrapText="1"/>
    </xf>
    <xf numFmtId="0" fontId="8" fillId="12" borderId="3" xfId="3" applyFont="1" applyFill="1" applyBorder="1" applyAlignment="1">
      <alignment horizontal="left" vertical="center" wrapText="1"/>
    </xf>
    <xf numFmtId="0" fontId="38" fillId="12" borderId="5" xfId="3" applyFont="1" applyFill="1" applyBorder="1" applyAlignment="1">
      <alignment horizontal="center" vertical="center" textRotation="90" wrapText="1"/>
    </xf>
    <xf numFmtId="0" fontId="38" fillId="12" borderId="9" xfId="3" applyFont="1" applyFill="1" applyBorder="1" applyAlignment="1">
      <alignment horizontal="center" vertical="center" textRotation="90" wrapText="1"/>
    </xf>
    <xf numFmtId="0" fontId="46" fillId="12" borderId="5" xfId="3" applyFont="1" applyFill="1" applyBorder="1" applyAlignment="1">
      <alignment horizontal="center" vertical="center" textRotation="90" wrapText="1"/>
    </xf>
    <xf numFmtId="0" fontId="46" fillId="12" borderId="9" xfId="3" applyFont="1" applyFill="1" applyBorder="1" applyAlignment="1">
      <alignment horizontal="center" vertical="center" textRotation="90" wrapText="1"/>
    </xf>
    <xf numFmtId="0" fontId="56" fillId="12" borderId="15" xfId="0" applyFont="1" applyFill="1" applyBorder="1" applyAlignment="1">
      <alignment horizontal="center" vertical="center" textRotation="90"/>
    </xf>
    <xf numFmtId="0" fontId="56" fillId="12" borderId="16" xfId="0" applyFont="1" applyFill="1" applyBorder="1" applyAlignment="1">
      <alignment horizontal="center" vertical="center" textRotation="90"/>
    </xf>
    <xf numFmtId="0" fontId="56" fillId="12" borderId="17" xfId="0" applyFont="1" applyFill="1" applyBorder="1" applyAlignment="1">
      <alignment horizontal="center" vertical="center" textRotation="90"/>
    </xf>
    <xf numFmtId="0" fontId="48" fillId="6" borderId="0" xfId="0" applyFont="1" applyFill="1" applyAlignment="1">
      <alignment horizontal="center" vertical="center" wrapText="1"/>
    </xf>
    <xf numFmtId="0" fontId="28" fillId="8" borderId="12" xfId="3" applyFont="1" applyFill="1" applyBorder="1" applyAlignment="1">
      <alignment horizontal="center" vertical="center" wrapText="1"/>
    </xf>
    <xf numFmtId="0" fontId="28" fillId="8" borderId="13" xfId="3" applyFont="1" applyFill="1" applyBorder="1" applyAlignment="1">
      <alignment horizontal="center" vertical="center" wrapText="1"/>
    </xf>
    <xf numFmtId="0" fontId="7" fillId="8" borderId="14" xfId="3" applyFont="1" applyFill="1" applyBorder="1" applyAlignment="1">
      <alignment horizontal="center" vertical="center" wrapText="1"/>
    </xf>
    <xf numFmtId="0" fontId="7" fillId="8" borderId="1" xfId="3" applyFont="1" applyFill="1" applyBorder="1" applyAlignment="1">
      <alignment horizontal="center" vertical="center" wrapText="1"/>
    </xf>
    <xf numFmtId="0" fontId="50" fillId="16" borderId="10" xfId="3" applyFont="1" applyFill="1" applyBorder="1" applyAlignment="1">
      <alignment horizontal="left" vertical="center" wrapText="1"/>
    </xf>
    <xf numFmtId="0" fontId="50" fillId="16" borderId="11" xfId="3" applyFont="1" applyFill="1" applyBorder="1" applyAlignment="1">
      <alignment horizontal="left" vertical="center" wrapText="1"/>
    </xf>
    <xf numFmtId="0" fontId="50" fillId="16" borderId="4" xfId="3" applyFont="1" applyFill="1" applyBorder="1" applyAlignment="1">
      <alignment horizontal="left"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28" fillId="8" borderId="8" xfId="0" applyFont="1" applyFill="1" applyBorder="1" applyAlignment="1">
      <alignment horizontal="center" vertical="center" wrapText="1"/>
    </xf>
    <xf numFmtId="0" fontId="28" fillId="8" borderId="0" xfId="0" applyFont="1" applyFill="1" applyAlignment="1">
      <alignment horizontal="center" vertical="center" wrapText="1"/>
    </xf>
    <xf numFmtId="0" fontId="28" fillId="8" borderId="49" xfId="0" applyFont="1" applyFill="1" applyBorder="1" applyAlignment="1">
      <alignment horizontal="center" vertical="center" wrapText="1"/>
    </xf>
    <xf numFmtId="0" fontId="14" fillId="0" borderId="47" xfId="0" applyFont="1" applyBorder="1" applyAlignment="1">
      <alignment horizontal="left" vertical="center" wrapText="1"/>
    </xf>
    <xf numFmtId="0" fontId="14" fillId="0" borderId="46" xfId="0" applyFont="1" applyBorder="1" applyAlignment="1">
      <alignment horizontal="left" vertical="center" wrapText="1"/>
    </xf>
    <xf numFmtId="0" fontId="14" fillId="0" borderId="26" xfId="0" applyFont="1" applyBorder="1" applyAlignment="1">
      <alignment horizontal="left" vertical="center" wrapText="1"/>
    </xf>
    <xf numFmtId="0" fontId="14" fillId="0" borderId="33" xfId="0" applyFont="1" applyBorder="1" applyAlignment="1">
      <alignment horizontal="left" vertical="center" wrapText="1"/>
    </xf>
    <xf numFmtId="0" fontId="14" fillId="0" borderId="44" xfId="0" applyFont="1" applyBorder="1" applyAlignment="1">
      <alignment horizontal="left" vertical="center" wrapText="1"/>
    </xf>
    <xf numFmtId="0" fontId="14" fillId="0" borderId="31" xfId="0" applyFont="1" applyBorder="1" applyAlignment="1">
      <alignment horizontal="left" vertical="center" wrapText="1"/>
    </xf>
    <xf numFmtId="0" fontId="14" fillId="0" borderId="0" xfId="0" applyFont="1" applyAlignment="1">
      <alignment horizontal="left" vertical="center" wrapText="1"/>
    </xf>
    <xf numFmtId="0" fontId="14" fillId="0" borderId="42" xfId="0" applyFont="1" applyBorder="1" applyAlignment="1">
      <alignment horizontal="left" vertical="center" wrapText="1"/>
    </xf>
    <xf numFmtId="0" fontId="14" fillId="0" borderId="30" xfId="0" applyFont="1" applyBorder="1" applyAlignment="1">
      <alignment horizontal="left" vertical="center" wrapText="1"/>
    </xf>
    <xf numFmtId="0" fontId="14" fillId="0" borderId="41" xfId="0" applyFont="1" applyBorder="1" applyAlignment="1">
      <alignment horizontal="left" vertical="center" wrapText="1"/>
    </xf>
    <xf numFmtId="0" fontId="14" fillId="6" borderId="46" xfId="0" applyFont="1" applyFill="1" applyBorder="1" applyAlignment="1">
      <alignment horizontal="left" vertical="center" wrapText="1"/>
    </xf>
    <xf numFmtId="0" fontId="14" fillId="6" borderId="47" xfId="0" applyFont="1" applyFill="1" applyBorder="1" applyAlignment="1">
      <alignment horizontal="left" vertical="center" wrapText="1"/>
    </xf>
    <xf numFmtId="0" fontId="14" fillId="6" borderId="30" xfId="0" applyFont="1" applyFill="1" applyBorder="1" applyAlignment="1">
      <alignment horizontal="left" vertical="center" wrapText="1"/>
    </xf>
    <xf numFmtId="0" fontId="14" fillId="6" borderId="31"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41" xfId="0" applyFont="1" applyFill="1" applyBorder="1" applyAlignment="1">
      <alignment horizontal="left" vertical="center" wrapText="1"/>
    </xf>
    <xf numFmtId="0" fontId="14" fillId="6" borderId="42" xfId="0" applyFont="1" applyFill="1" applyBorder="1" applyAlignment="1">
      <alignment horizontal="left" vertical="center" wrapText="1"/>
    </xf>
    <xf numFmtId="0" fontId="14" fillId="0" borderId="36" xfId="0" applyFont="1" applyBorder="1" applyAlignment="1">
      <alignment horizontal="left" vertical="center" wrapText="1"/>
    </xf>
    <xf numFmtId="0" fontId="14" fillId="6" borderId="26" xfId="0" applyFont="1" applyFill="1" applyBorder="1" applyAlignment="1">
      <alignment horizontal="left" vertical="center" wrapText="1"/>
    </xf>
    <xf numFmtId="0" fontId="14" fillId="6" borderId="33" xfId="0" applyFont="1" applyFill="1" applyBorder="1" applyAlignment="1">
      <alignment horizontal="left" vertical="center"/>
    </xf>
    <xf numFmtId="0" fontId="14" fillId="6" borderId="44" xfId="0" applyFont="1" applyFill="1" applyBorder="1" applyAlignment="1">
      <alignment horizontal="left" vertical="center"/>
    </xf>
    <xf numFmtId="0" fontId="14" fillId="0" borderId="31" xfId="0" applyFont="1" applyBorder="1" applyAlignment="1">
      <alignment horizontal="left" vertical="center"/>
    </xf>
    <xf numFmtId="0" fontId="14" fillId="0" borderId="0" xfId="0" applyFont="1" applyAlignment="1">
      <alignment horizontal="left" vertical="center"/>
    </xf>
    <xf numFmtId="0" fontId="14" fillId="0" borderId="42" xfId="0" applyFont="1" applyBorder="1" applyAlignment="1">
      <alignment horizontal="left" vertical="center"/>
    </xf>
    <xf numFmtId="43" fontId="82" fillId="10" borderId="24" xfId="1" applyFont="1" applyFill="1" applyBorder="1" applyAlignment="1">
      <alignment horizontal="center" vertical="center" wrapText="1"/>
    </xf>
    <xf numFmtId="43" fontId="82" fillId="10" borderId="0" xfId="1" applyFont="1" applyFill="1" applyBorder="1" applyAlignment="1">
      <alignment horizontal="center" vertical="center" wrapText="1"/>
    </xf>
    <xf numFmtId="43" fontId="82" fillId="21" borderId="24" xfId="1" applyFont="1" applyFill="1" applyBorder="1" applyAlignment="1">
      <alignment horizontal="center" vertical="center" wrapText="1"/>
    </xf>
    <xf numFmtId="43" fontId="82" fillId="21" borderId="0" xfId="1" applyFont="1" applyFill="1" applyBorder="1" applyAlignment="1">
      <alignment horizontal="center" vertical="center" wrapText="1"/>
    </xf>
    <xf numFmtId="0" fontId="14" fillId="0" borderId="33" xfId="0" applyFont="1" applyBorder="1" applyAlignment="1">
      <alignment horizontal="left" vertical="center"/>
    </xf>
    <xf numFmtId="0" fontId="14" fillId="0" borderId="44" xfId="0" applyFont="1" applyBorder="1" applyAlignment="1">
      <alignment horizontal="left" vertical="center"/>
    </xf>
    <xf numFmtId="0" fontId="28" fillId="8" borderId="7"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91" fillId="0" borderId="0" xfId="0" applyFont="1" applyAlignment="1">
      <alignment horizontal="left" vertical="center" wrapText="1"/>
    </xf>
    <xf numFmtId="0" fontId="28" fillId="8" borderId="25" xfId="0" applyFont="1" applyFill="1" applyBorder="1" applyAlignment="1">
      <alignment horizontal="center" vertical="center" wrapText="1"/>
    </xf>
    <xf numFmtId="0" fontId="28" fillId="8" borderId="64" xfId="0" applyFont="1" applyFill="1" applyBorder="1" applyAlignment="1">
      <alignment horizontal="center" vertical="center" wrapText="1"/>
    </xf>
    <xf numFmtId="0" fontId="28" fillId="8" borderId="24" xfId="0" applyFont="1" applyFill="1" applyBorder="1" applyAlignment="1">
      <alignment horizontal="center" vertical="center" wrapText="1"/>
    </xf>
    <xf numFmtId="0" fontId="28" fillId="8" borderId="23" xfId="0" applyFont="1" applyFill="1" applyBorder="1" applyAlignment="1">
      <alignment horizontal="center" vertical="center" wrapText="1"/>
    </xf>
    <xf numFmtId="0" fontId="28" fillId="8" borderId="22"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7" fillId="8" borderId="59" xfId="0" applyFont="1" applyFill="1" applyBorder="1" applyAlignment="1">
      <alignment horizontal="center" vertical="center" wrapText="1"/>
    </xf>
    <xf numFmtId="0" fontId="7" fillId="8" borderId="65" xfId="0" applyFont="1" applyFill="1" applyBorder="1" applyAlignment="1">
      <alignment horizontal="center" vertical="center" wrapText="1"/>
    </xf>
    <xf numFmtId="0" fontId="7" fillId="8" borderId="66" xfId="0" applyFont="1" applyFill="1" applyBorder="1" applyAlignment="1">
      <alignment horizontal="center" vertical="center" wrapText="1"/>
    </xf>
    <xf numFmtId="0" fontId="7" fillId="8" borderId="67" xfId="0" applyFont="1" applyFill="1" applyBorder="1" applyAlignment="1">
      <alignment horizontal="center" vertical="center" wrapText="1"/>
    </xf>
  </cellXfs>
  <cellStyles count="8">
    <cellStyle name="Lien hypertexte" xfId="4" builtinId="8"/>
    <cellStyle name="Milliers" xfId="1" builtinId="3"/>
    <cellStyle name="Milliers 2" xfId="6" xr:uid="{9730AEE9-052F-4D78-8D3E-49D5F8882EEE}"/>
    <cellStyle name="Normal" xfId="0" builtinId="0"/>
    <cellStyle name="Normal 11 10" xfId="3" xr:uid="{C76C1191-04E7-4C14-AF58-E518F4E55FE7}"/>
    <cellStyle name="Normal 2" xfId="7" xr:uid="{3653A89F-3E4D-4597-A6C2-C8E3B7725614}"/>
    <cellStyle name="Pourcentage" xfId="2" builtinId="5"/>
    <cellStyle name="Pourcentage 3" xfId="5" xr:uid="{FD729782-0ABA-425A-95DF-814D94999320}"/>
  </cellStyles>
  <dxfs count="20">
    <dxf>
      <fill>
        <patternFill patternType="lightUp">
          <bgColor theme="0"/>
        </patternFill>
      </fill>
    </dxf>
    <dxf>
      <fill>
        <patternFill patternType="lightDown">
          <fgColor auto="1"/>
          <bgColor theme="0"/>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s>
  <tableStyles count="0" defaultTableStyle="TableStyleMedium2" defaultPivotStyle="PivotStyleLight16"/>
  <colors>
    <mruColors>
      <color rgb="FFCCEBEE"/>
      <color rgb="FF009AAA"/>
      <color rgb="FFDAC2EC"/>
      <color rgb="FFC198E0"/>
      <color rgb="FF7FC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oisson Jonathan" id="{6513466D-C31C-4810-BAF9-A8CC82E41ADF}" userId="S::jonathan.poisson@cre.fr::1f83e1f7-1e42-4139-9510-fd2cf74bd531"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2" dT="2022-03-03T17:33:14.66" personId="{6513466D-C31C-4810-BAF9-A8CC82E41ADF}" id="{C255DB62-D765-429A-A9C5-64A45E35F5D9}">
    <text>Ecart de recette = Recette prévisionnelle (y compris terme de lissage) *(Delta inflation)
écart de CNE incité (correction inflation) = CNE prev N *(inflation cumulée 2018-2022 "réalisé" - inflation cumulée 2018-2022 prévisionnelle)</text>
  </threadedComment>
</ThreadedComment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ee.fr/fr/statistiques/serie/001763852"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C142-8153-4E42-B20D-FFB6838C366B}">
  <sheetPr>
    <tabColor rgb="FFC00000"/>
  </sheetPr>
  <dimension ref="B1:F29"/>
  <sheetViews>
    <sheetView zoomScaleNormal="100" workbookViewId="0">
      <selection activeCell="D14" sqref="D14"/>
    </sheetView>
  </sheetViews>
  <sheetFormatPr baseColWidth="10" defaultRowHeight="15" x14ac:dyDescent="0.25"/>
  <cols>
    <col min="2" max="2" width="2.28515625" bestFit="1" customWidth="1"/>
    <col min="3" max="3" width="27.28515625" bestFit="1" customWidth="1"/>
    <col min="4" max="4" width="122.42578125" customWidth="1"/>
    <col min="5" max="5" width="34" customWidth="1"/>
  </cols>
  <sheetData>
    <row r="1" spans="2:5" x14ac:dyDescent="0.25">
      <c r="C1" s="428" t="s">
        <v>0</v>
      </c>
      <c r="D1" s="428"/>
    </row>
    <row r="2" spans="2:5" ht="101.25" customHeight="1" x14ac:dyDescent="0.25">
      <c r="C2" s="1" t="s">
        <v>1</v>
      </c>
      <c r="D2" s="429" t="s">
        <v>362</v>
      </c>
      <c r="E2" s="429"/>
    </row>
    <row r="3" spans="2:5" ht="15.75" thickBot="1" x14ac:dyDescent="0.3"/>
    <row r="4" spans="2:5" ht="17.25" thickBot="1" x14ac:dyDescent="0.3">
      <c r="B4" s="369"/>
      <c r="C4" s="370" t="s">
        <v>2</v>
      </c>
      <c r="D4" s="371" t="s">
        <v>3</v>
      </c>
      <c r="E4" s="372"/>
    </row>
    <row r="5" spans="2:5" ht="15.75" thickBot="1" x14ac:dyDescent="0.3">
      <c r="B5" s="373"/>
      <c r="C5" s="373"/>
      <c r="D5" s="373"/>
      <c r="E5" s="373"/>
    </row>
    <row r="6" spans="2:5" ht="32.25" thickBot="1" x14ac:dyDescent="0.3">
      <c r="B6" s="373"/>
      <c r="C6" s="374" t="s">
        <v>363</v>
      </c>
      <c r="D6" s="375" t="s">
        <v>399</v>
      </c>
      <c r="E6" s="376" t="s">
        <v>4</v>
      </c>
    </row>
    <row r="7" spans="2:5" ht="27.75" thickBot="1" x14ac:dyDescent="0.3">
      <c r="B7" s="373"/>
      <c r="C7" s="377" t="s">
        <v>6</v>
      </c>
      <c r="D7" s="378" t="s">
        <v>365</v>
      </c>
      <c r="E7" s="379" t="s">
        <v>5</v>
      </c>
    </row>
    <row r="8" spans="2:5" ht="32.25" thickBot="1" x14ac:dyDescent="0.3">
      <c r="B8" s="373"/>
      <c r="C8" s="377" t="s">
        <v>366</v>
      </c>
      <c r="D8" s="378" t="s">
        <v>402</v>
      </c>
      <c r="E8" s="379" t="s">
        <v>5</v>
      </c>
    </row>
    <row r="9" spans="2:5" ht="48" thickBot="1" x14ac:dyDescent="0.3">
      <c r="B9" s="373"/>
      <c r="C9" s="380" t="s">
        <v>367</v>
      </c>
      <c r="D9" s="381" t="s">
        <v>403</v>
      </c>
      <c r="E9" s="382" t="s">
        <v>368</v>
      </c>
    </row>
    <row r="10" spans="2:5" ht="16.5" thickBot="1" x14ac:dyDescent="0.3">
      <c r="B10" s="373"/>
      <c r="C10" s="383" t="s">
        <v>400</v>
      </c>
      <c r="D10" s="384" t="s">
        <v>401</v>
      </c>
      <c r="E10" s="385" t="s">
        <v>370</v>
      </c>
    </row>
    <row r="11" spans="2:5" ht="16.5" thickBot="1" x14ac:dyDescent="0.3">
      <c r="B11" s="373"/>
      <c r="C11" s="383" t="s">
        <v>369</v>
      </c>
      <c r="D11" s="384" t="s">
        <v>404</v>
      </c>
      <c r="E11" s="385" t="s">
        <v>370</v>
      </c>
    </row>
    <row r="12" spans="2:5" ht="16.5" thickBot="1" x14ac:dyDescent="0.3">
      <c r="B12" s="373"/>
      <c r="C12" s="386" t="s">
        <v>152</v>
      </c>
      <c r="D12" s="384" t="s">
        <v>371</v>
      </c>
      <c r="E12" s="385" t="s">
        <v>4</v>
      </c>
    </row>
    <row r="13" spans="2:5" ht="16.5" thickBot="1" x14ac:dyDescent="0.3">
      <c r="B13" s="373"/>
      <c r="C13" s="386" t="s">
        <v>405</v>
      </c>
      <c r="D13" s="384" t="s">
        <v>406</v>
      </c>
      <c r="E13" s="385"/>
    </row>
    <row r="14" spans="2:5" ht="16.5" thickBot="1" x14ac:dyDescent="0.3">
      <c r="B14" s="373"/>
      <c r="C14" s="386" t="s">
        <v>372</v>
      </c>
      <c r="D14" s="384" t="s">
        <v>373</v>
      </c>
      <c r="E14" s="385" t="s">
        <v>4</v>
      </c>
    </row>
    <row r="15" spans="2:5" ht="16.5" thickBot="1" x14ac:dyDescent="0.3">
      <c r="B15" s="373"/>
      <c r="C15" s="386" t="s">
        <v>374</v>
      </c>
      <c r="D15" s="384" t="s">
        <v>375</v>
      </c>
      <c r="E15" s="385" t="s">
        <v>4</v>
      </c>
    </row>
    <row r="16" spans="2:5" ht="32.25" thickBot="1" x14ac:dyDescent="0.3">
      <c r="B16" s="373"/>
      <c r="C16" s="386" t="s">
        <v>376</v>
      </c>
      <c r="D16" s="384" t="s">
        <v>377</v>
      </c>
      <c r="E16" s="385" t="s">
        <v>4</v>
      </c>
    </row>
    <row r="17" spans="2:6" ht="32.25" thickBot="1" x14ac:dyDescent="0.3">
      <c r="B17" s="373"/>
      <c r="C17" s="386" t="s">
        <v>378</v>
      </c>
      <c r="D17" s="384" t="s">
        <v>379</v>
      </c>
      <c r="E17" s="385" t="s">
        <v>4</v>
      </c>
    </row>
    <row r="18" spans="2:6" ht="18" customHeight="1" thickBot="1" x14ac:dyDescent="0.3">
      <c r="B18" s="373"/>
      <c r="C18" s="386" t="s">
        <v>380</v>
      </c>
      <c r="D18" s="384" t="s">
        <v>381</v>
      </c>
      <c r="E18" s="385" t="s">
        <v>4</v>
      </c>
    </row>
    <row r="19" spans="2:6" ht="16.5" thickBot="1" x14ac:dyDescent="0.3">
      <c r="B19" s="373"/>
      <c r="C19" s="386" t="s">
        <v>382</v>
      </c>
      <c r="D19" s="384" t="s">
        <v>383</v>
      </c>
      <c r="E19" s="385" t="s">
        <v>4</v>
      </c>
    </row>
    <row r="20" spans="2:6" ht="16.5" thickBot="1" x14ac:dyDescent="0.3">
      <c r="B20" s="373"/>
      <c r="C20" s="386" t="s">
        <v>384</v>
      </c>
      <c r="D20" s="384" t="s">
        <v>385</v>
      </c>
      <c r="E20" s="385" t="s">
        <v>4</v>
      </c>
    </row>
    <row r="21" spans="2:6" ht="16.5" thickBot="1" x14ac:dyDescent="0.3">
      <c r="B21" s="373"/>
      <c r="C21" s="386" t="s">
        <v>386</v>
      </c>
      <c r="D21" s="384" t="s">
        <v>387</v>
      </c>
      <c r="E21" s="385" t="s">
        <v>4</v>
      </c>
    </row>
    <row r="22" spans="2:6" ht="15.75" thickBot="1" x14ac:dyDescent="0.3">
      <c r="C22" s="2"/>
      <c r="D22" s="2"/>
      <c r="E22" s="2"/>
    </row>
    <row r="23" spans="2:6" ht="17.25" thickBot="1" x14ac:dyDescent="0.3">
      <c r="C23" s="387" t="s">
        <v>7</v>
      </c>
      <c r="D23" s="388" t="s">
        <v>8</v>
      </c>
      <c r="E23" s="388" t="s">
        <v>2</v>
      </c>
      <c r="F23" s="389" t="s">
        <v>9</v>
      </c>
    </row>
    <row r="24" spans="2:6" ht="16.5" thickBot="1" x14ac:dyDescent="0.3">
      <c r="C24" s="430" t="s">
        <v>10</v>
      </c>
      <c r="D24" s="390" t="s">
        <v>11</v>
      </c>
      <c r="E24" s="377" t="s">
        <v>6</v>
      </c>
      <c r="F24" s="391" t="s">
        <v>388</v>
      </c>
    </row>
    <row r="25" spans="2:6" ht="16.5" thickBot="1" x14ac:dyDescent="0.3">
      <c r="C25" s="430"/>
      <c r="D25" s="390" t="s">
        <v>389</v>
      </c>
      <c r="E25" s="377" t="s">
        <v>364</v>
      </c>
      <c r="F25" s="391" t="s">
        <v>390</v>
      </c>
    </row>
    <row r="26" spans="2:6" ht="32.25" thickBot="1" x14ac:dyDescent="0.3">
      <c r="C26" s="430"/>
      <c r="D26" s="390" t="s">
        <v>391</v>
      </c>
      <c r="E26" s="377" t="s">
        <v>366</v>
      </c>
      <c r="F26" s="392" t="s">
        <v>392</v>
      </c>
    </row>
    <row r="27" spans="2:6" ht="16.5" thickBot="1" x14ac:dyDescent="0.3">
      <c r="C27" s="430" t="s">
        <v>12</v>
      </c>
      <c r="D27" s="390" t="s">
        <v>393</v>
      </c>
      <c r="E27" s="380" t="s">
        <v>367</v>
      </c>
      <c r="F27" s="393" t="s">
        <v>394</v>
      </c>
    </row>
    <row r="28" spans="2:6" ht="48" thickBot="1" x14ac:dyDescent="0.3">
      <c r="C28" s="430"/>
      <c r="D28" s="390" t="s">
        <v>395</v>
      </c>
      <c r="E28" s="380" t="s">
        <v>367</v>
      </c>
      <c r="F28" s="392" t="s">
        <v>396</v>
      </c>
    </row>
    <row r="29" spans="2:6" ht="35.25" customHeight="1" thickBot="1" x14ac:dyDescent="0.3">
      <c r="C29" s="430"/>
      <c r="D29" s="390" t="s">
        <v>397</v>
      </c>
      <c r="E29" s="386" t="s">
        <v>369</v>
      </c>
      <c r="F29" s="392" t="s">
        <v>398</v>
      </c>
    </row>
  </sheetData>
  <mergeCells count="4">
    <mergeCell ref="C1:D1"/>
    <mergeCell ref="D2:E2"/>
    <mergeCell ref="C24:C26"/>
    <mergeCell ref="C27:C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FDE9F-98A0-4FA1-ACA0-EAF917815637}">
  <sheetPr>
    <tabColor theme="4"/>
  </sheetPr>
  <dimension ref="A1:D39"/>
  <sheetViews>
    <sheetView workbookViewId="0">
      <selection activeCell="D10" sqref="D10"/>
    </sheetView>
  </sheetViews>
  <sheetFormatPr baseColWidth="10" defaultColWidth="9.28515625" defaultRowHeight="15" x14ac:dyDescent="0.25"/>
  <cols>
    <col min="1" max="1" width="17.7109375" customWidth="1"/>
    <col min="2" max="2" width="4.28515625" customWidth="1"/>
    <col min="3" max="4" width="27" customWidth="1"/>
    <col min="5" max="5" width="4.42578125" customWidth="1"/>
  </cols>
  <sheetData>
    <row r="1" spans="1:4" x14ac:dyDescent="0.25">
      <c r="C1" s="338" t="s">
        <v>0</v>
      </c>
      <c r="D1" s="338"/>
    </row>
    <row r="2" spans="1:4" ht="24" x14ac:dyDescent="0.25">
      <c r="C2" s="344" t="s">
        <v>264</v>
      </c>
      <c r="D2" s="344"/>
    </row>
    <row r="4" spans="1:4" ht="25.15" customHeight="1" x14ac:dyDescent="0.25">
      <c r="C4" s="449" t="s">
        <v>263</v>
      </c>
      <c r="D4" s="450"/>
    </row>
    <row r="5" spans="1:4" ht="15.75" thickBot="1" x14ac:dyDescent="0.3"/>
    <row r="6" spans="1:4" ht="27.75" customHeight="1" thickBot="1" x14ac:dyDescent="0.3">
      <c r="B6" s="340"/>
      <c r="C6" s="348" t="s">
        <v>265</v>
      </c>
      <c r="D6" s="355" t="s">
        <v>266</v>
      </c>
    </row>
    <row r="7" spans="1:4" ht="15.75" thickBot="1" x14ac:dyDescent="0.3">
      <c r="A7" s="483" t="s">
        <v>250</v>
      </c>
      <c r="C7" s="343" t="s">
        <v>19</v>
      </c>
      <c r="D7" s="351">
        <f>'Grille tarifaire'!Q33</f>
        <v>0</v>
      </c>
    </row>
    <row r="8" spans="1:4" ht="15.75" thickBot="1" x14ac:dyDescent="0.3">
      <c r="A8" s="485"/>
      <c r="C8" s="343" t="s">
        <v>165</v>
      </c>
      <c r="D8" s="351">
        <f>'Grille tarifaire'!Q34</f>
        <v>0</v>
      </c>
    </row>
    <row r="9" spans="1:4" ht="15.75" thickBot="1" x14ac:dyDescent="0.3"/>
    <row r="10" spans="1:4" ht="15.75" customHeight="1" thickBot="1" x14ac:dyDescent="0.3">
      <c r="A10" s="483" t="s">
        <v>251</v>
      </c>
      <c r="C10" s="343" t="s">
        <v>19</v>
      </c>
      <c r="D10" s="352">
        <f>'Grille tarifaire'!R33</f>
        <v>0</v>
      </c>
    </row>
    <row r="11" spans="1:4" ht="15.75" thickBot="1" x14ac:dyDescent="0.3">
      <c r="A11" s="485"/>
      <c r="C11" s="343" t="s">
        <v>165</v>
      </c>
      <c r="D11" s="352">
        <f>'Grille tarifaire'!R34</f>
        <v>0</v>
      </c>
    </row>
    <row r="12" spans="1:4" ht="15.75" thickBot="1" x14ac:dyDescent="0.3"/>
    <row r="13" spans="1:4" ht="15.75" customHeight="1" thickBot="1" x14ac:dyDescent="0.3">
      <c r="A13" s="483" t="s">
        <v>252</v>
      </c>
      <c r="C13" s="343" t="s">
        <v>19</v>
      </c>
      <c r="D13" s="352">
        <f>'Grille tarifaire'!S33</f>
        <v>0</v>
      </c>
    </row>
    <row r="14" spans="1:4" ht="15.75" thickBot="1" x14ac:dyDescent="0.3">
      <c r="A14" s="485"/>
      <c r="C14" s="343" t="s">
        <v>165</v>
      </c>
      <c r="D14" s="352">
        <f>'Grille tarifaire'!S34</f>
        <v>0</v>
      </c>
    </row>
    <row r="15" spans="1:4" ht="15.75" thickBot="1" x14ac:dyDescent="0.3"/>
    <row r="16" spans="1:4" ht="15.75" customHeight="1" thickBot="1" x14ac:dyDescent="0.3">
      <c r="A16" s="483" t="s">
        <v>253</v>
      </c>
      <c r="C16" s="343" t="s">
        <v>19</v>
      </c>
      <c r="D16" s="352">
        <f>'Grille tarifaire'!T33</f>
        <v>0</v>
      </c>
    </row>
    <row r="17" spans="1:4" ht="15" customHeight="1" thickBot="1" x14ac:dyDescent="0.3">
      <c r="A17" s="485"/>
      <c r="C17" s="343" t="s">
        <v>165</v>
      </c>
      <c r="D17" s="352">
        <f>'Grille tarifaire'!T34</f>
        <v>0</v>
      </c>
    </row>
    <row r="28" spans="1:4" ht="31.5" customHeight="1" x14ac:dyDescent="0.25"/>
    <row r="39" ht="28.5" customHeight="1" x14ac:dyDescent="0.25"/>
  </sheetData>
  <mergeCells count="5">
    <mergeCell ref="A7:A8"/>
    <mergeCell ref="A10:A11"/>
    <mergeCell ref="A13:A14"/>
    <mergeCell ref="A16:A17"/>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5ED6-442F-4FF7-87F0-DCFEE81C7F06}">
  <sheetPr>
    <tabColor theme="4"/>
  </sheetPr>
  <dimension ref="A1:AD38"/>
  <sheetViews>
    <sheetView workbookViewId="0">
      <pane xSplit="1" ySplit="6" topLeftCell="R7" activePane="bottomRight" state="frozen"/>
      <selection pane="topRight" activeCell="B1" sqref="B1"/>
      <selection pane="bottomLeft" activeCell="A7" sqref="A7"/>
      <selection pane="bottomRight" activeCell="AB10" sqref="AB10"/>
    </sheetView>
  </sheetViews>
  <sheetFormatPr baseColWidth="10" defaultColWidth="9.28515625" defaultRowHeight="15" x14ac:dyDescent="0.25"/>
  <cols>
    <col min="1" max="1" width="17.7109375" customWidth="1"/>
    <col min="2" max="2" width="4.28515625" customWidth="1"/>
    <col min="3" max="3" width="31.5703125" customWidth="1"/>
    <col min="4" max="8" width="15.7109375" customWidth="1"/>
    <col min="9" max="9" width="4.42578125" customWidth="1"/>
    <col min="10" max="10" width="31.5703125" customWidth="1"/>
    <col min="11" max="15" width="15.7109375" customWidth="1"/>
    <col min="16" max="16" width="4.42578125" customWidth="1"/>
    <col min="17" max="17" width="31.5703125" customWidth="1"/>
    <col min="18" max="22" width="15.7109375" customWidth="1"/>
    <col min="23" max="23" width="4.42578125" customWidth="1"/>
    <col min="24" max="24" width="31.5703125" customWidth="1"/>
    <col min="25" max="29" width="15.7109375" customWidth="1"/>
    <col min="30" max="30" width="4.42578125" customWidth="1"/>
  </cols>
  <sheetData>
    <row r="1" spans="1:30" x14ac:dyDescent="0.25">
      <c r="C1" s="338" t="s">
        <v>0</v>
      </c>
      <c r="J1" s="338"/>
      <c r="Q1" s="338"/>
      <c r="X1" s="338"/>
    </row>
    <row r="2" spans="1:30" ht="48" customHeight="1" x14ac:dyDescent="0.25">
      <c r="C2" s="486" t="s">
        <v>267</v>
      </c>
      <c r="D2" s="486"/>
      <c r="E2" s="486"/>
      <c r="F2" s="486"/>
      <c r="G2" s="486"/>
      <c r="H2" s="486"/>
      <c r="I2" s="486"/>
      <c r="J2" s="486"/>
      <c r="K2" s="486"/>
      <c r="L2" s="358"/>
      <c r="M2" s="358"/>
      <c r="N2" s="358"/>
      <c r="O2" s="358"/>
      <c r="P2" s="358"/>
      <c r="Q2" s="358"/>
      <c r="R2" s="358"/>
      <c r="S2" s="358"/>
      <c r="T2" s="358"/>
      <c r="U2" s="358"/>
      <c r="V2" s="358"/>
      <c r="W2" s="358"/>
      <c r="X2" s="358"/>
      <c r="Y2" s="358"/>
      <c r="Z2" s="358"/>
      <c r="AA2" s="358"/>
      <c r="AB2" s="358"/>
      <c r="AC2" s="358"/>
      <c r="AD2" s="358"/>
    </row>
    <row r="4" spans="1:30" ht="25.15" customHeight="1" x14ac:dyDescent="0.25">
      <c r="C4" s="449" t="s">
        <v>268</v>
      </c>
      <c r="D4" s="450"/>
      <c r="E4" s="450"/>
      <c r="F4" s="450"/>
      <c r="G4" s="450"/>
      <c r="H4" s="450"/>
      <c r="J4" s="449" t="s">
        <v>277</v>
      </c>
      <c r="K4" s="450"/>
      <c r="L4" s="450"/>
      <c r="M4" s="450"/>
      <c r="N4" s="450"/>
      <c r="O4" s="450"/>
      <c r="Q4" s="449" t="s">
        <v>279</v>
      </c>
      <c r="R4" s="450"/>
      <c r="S4" s="450"/>
      <c r="T4" s="450"/>
      <c r="U4" s="450"/>
      <c r="V4" s="450"/>
      <c r="X4" s="449" t="s">
        <v>281</v>
      </c>
      <c r="Y4" s="450"/>
      <c r="Z4" s="450"/>
      <c r="AA4" s="450"/>
      <c r="AB4" s="450"/>
      <c r="AC4" s="450"/>
    </row>
    <row r="5" spans="1:30" ht="15.75" thickBot="1" x14ac:dyDescent="0.3">
      <c r="H5" s="339"/>
      <c r="O5" s="339"/>
      <c r="V5" s="339"/>
      <c r="AC5" s="339"/>
    </row>
    <row r="6" spans="1:30" ht="41.25" thickBot="1" x14ac:dyDescent="0.3">
      <c r="B6" s="340"/>
      <c r="C6" s="348" t="s">
        <v>269</v>
      </c>
      <c r="D6" s="349" t="s">
        <v>272</v>
      </c>
      <c r="E6" s="356" t="s">
        <v>273</v>
      </c>
      <c r="F6" s="356" t="s">
        <v>274</v>
      </c>
      <c r="G6" s="356" t="s">
        <v>275</v>
      </c>
      <c r="H6" s="350" t="s">
        <v>276</v>
      </c>
      <c r="J6" s="348" t="s">
        <v>278</v>
      </c>
      <c r="K6" s="349" t="s">
        <v>272</v>
      </c>
      <c r="L6" s="356" t="s">
        <v>273</v>
      </c>
      <c r="M6" s="356" t="s">
        <v>274</v>
      </c>
      <c r="N6" s="356" t="s">
        <v>275</v>
      </c>
      <c r="O6" s="350" t="s">
        <v>276</v>
      </c>
      <c r="Q6" s="348" t="s">
        <v>280</v>
      </c>
      <c r="R6" s="349" t="s">
        <v>272</v>
      </c>
      <c r="S6" s="356" t="s">
        <v>273</v>
      </c>
      <c r="T6" s="356" t="s">
        <v>274</v>
      </c>
      <c r="U6" s="356" t="s">
        <v>275</v>
      </c>
      <c r="V6" s="350" t="s">
        <v>276</v>
      </c>
      <c r="X6" s="348" t="s">
        <v>282</v>
      </c>
      <c r="Y6" s="349" t="s">
        <v>272</v>
      </c>
      <c r="Z6" s="356" t="s">
        <v>273</v>
      </c>
      <c r="AA6" s="356" t="s">
        <v>274</v>
      </c>
      <c r="AB6" s="356" t="s">
        <v>275</v>
      </c>
      <c r="AC6" s="350" t="s">
        <v>276</v>
      </c>
    </row>
    <row r="7" spans="1:30" ht="27.75" thickBot="1" x14ac:dyDescent="0.3">
      <c r="A7" s="483" t="s">
        <v>250</v>
      </c>
      <c r="C7" s="333" t="s">
        <v>270</v>
      </c>
      <c r="D7" s="351">
        <f>'Grille tarifaire'!Q35</f>
        <v>4.88</v>
      </c>
      <c r="E7" s="351">
        <f>'Grille tarifaire'!Q36</f>
        <v>4.67</v>
      </c>
      <c r="F7" s="351">
        <f>'Grille tarifaire'!Q37</f>
        <v>4.4000000000000004</v>
      </c>
      <c r="G7" s="351">
        <f>'Grille tarifaire'!Q38</f>
        <v>4.26</v>
      </c>
      <c r="H7" s="351">
        <f>'Grille tarifaire'!Q39</f>
        <v>3.6</v>
      </c>
      <c r="J7" s="333" t="s">
        <v>270</v>
      </c>
      <c r="K7" s="351">
        <f>'Grille tarifaire'!Q45</f>
        <v>19.36</v>
      </c>
      <c r="L7" s="351">
        <f>'Grille tarifaire'!Q46</f>
        <v>18.260000000000002</v>
      </c>
      <c r="M7" s="351">
        <f>'Grille tarifaire'!Q47</f>
        <v>13.85</v>
      </c>
      <c r="N7" s="351">
        <f>'Grille tarifaire'!Q48</f>
        <v>9.7100000000000009</v>
      </c>
      <c r="O7" s="351">
        <f>'Grille tarifaire'!Q49</f>
        <v>4.1500000000000004</v>
      </c>
      <c r="Q7" s="333" t="s">
        <v>270</v>
      </c>
      <c r="R7" s="351">
        <f>'Grille tarifaire'!Q55</f>
        <v>5.34</v>
      </c>
      <c r="S7" s="351">
        <f>'Grille tarifaire'!Q56</f>
        <v>4.6100000000000003</v>
      </c>
      <c r="T7" s="351">
        <f>'Grille tarifaire'!Q57</f>
        <v>4.4000000000000004</v>
      </c>
      <c r="U7" s="351">
        <f>'Grille tarifaire'!Q58</f>
        <v>4.26</v>
      </c>
      <c r="V7" s="351">
        <f>'Grille tarifaire'!Q59</f>
        <v>3.6</v>
      </c>
      <c r="X7" s="333" t="s">
        <v>270</v>
      </c>
      <c r="Y7" s="351">
        <f>'Grille tarifaire'!Q65</f>
        <v>21.81</v>
      </c>
      <c r="Z7" s="351">
        <f>'Grille tarifaire'!Q66</f>
        <v>19.93</v>
      </c>
      <c r="AA7" s="351">
        <f>'Grille tarifaire'!Q67</f>
        <v>13.85</v>
      </c>
      <c r="AB7" s="351">
        <f>'Grille tarifaire'!Q68</f>
        <v>9.7100000000000009</v>
      </c>
      <c r="AC7" s="351">
        <f>'Grille tarifaire'!Q69</f>
        <v>4.1500000000000004</v>
      </c>
    </row>
    <row r="8" spans="1:30" ht="27.75" thickBot="1" x14ac:dyDescent="0.3">
      <c r="A8" s="485"/>
      <c r="C8" s="333" t="s">
        <v>271</v>
      </c>
      <c r="D8" s="351">
        <f>'Grille tarifaire'!Q40</f>
        <v>3.73</v>
      </c>
      <c r="E8" s="351">
        <f>'Grille tarifaire'!Q41</f>
        <v>3.2</v>
      </c>
      <c r="F8" s="351">
        <f>'Grille tarifaire'!Q42</f>
        <v>2.17</v>
      </c>
      <c r="G8" s="351">
        <f>'Grille tarifaire'!Q43</f>
        <v>1.64</v>
      </c>
      <c r="H8" s="351">
        <f>'Grille tarifaire'!Q44</f>
        <v>1.01</v>
      </c>
      <c r="J8" s="333" t="s">
        <v>271</v>
      </c>
      <c r="K8" s="351">
        <f>'Grille tarifaire'!Q50</f>
        <v>2.8</v>
      </c>
      <c r="L8" s="351">
        <f>'Grille tarifaire'!Q51</f>
        <v>2.11</v>
      </c>
      <c r="M8" s="351">
        <f>'Grille tarifaire'!Q52</f>
        <v>1.38</v>
      </c>
      <c r="N8" s="351">
        <f>'Grille tarifaire'!Q53</f>
        <v>0.89</v>
      </c>
      <c r="O8" s="351">
        <f>'Grille tarifaire'!Q54</f>
        <v>0.77</v>
      </c>
      <c r="Q8" s="333" t="s">
        <v>271</v>
      </c>
      <c r="R8" s="351">
        <f>'Grille tarifaire'!Q60</f>
        <v>4.78</v>
      </c>
      <c r="S8" s="351">
        <f>'Grille tarifaire'!Q61</f>
        <v>3.07</v>
      </c>
      <c r="T8" s="351">
        <f>'Grille tarifaire'!Q62</f>
        <v>2.17</v>
      </c>
      <c r="U8" s="351">
        <f>'Grille tarifaire'!Q63</f>
        <v>1.64</v>
      </c>
      <c r="V8" s="351">
        <f>'Grille tarifaire'!Q64</f>
        <v>1.01</v>
      </c>
      <c r="X8" s="333" t="s">
        <v>271</v>
      </c>
      <c r="Y8" s="351">
        <f>'Grille tarifaire'!Q70</f>
        <v>3.21</v>
      </c>
      <c r="Z8" s="351">
        <f>'Grille tarifaire'!Q71</f>
        <v>1.93</v>
      </c>
      <c r="AA8" s="351">
        <f>'Grille tarifaire'!Q72</f>
        <v>1.38</v>
      </c>
      <c r="AB8" s="351">
        <f>'Grille tarifaire'!Q73</f>
        <v>0.89</v>
      </c>
      <c r="AC8" s="351">
        <f>'Grille tarifaire'!Q74</f>
        <v>0.77</v>
      </c>
    </row>
    <row r="9" spans="1:30" ht="15.75" thickBot="1" x14ac:dyDescent="0.3"/>
    <row r="10" spans="1:30" ht="27.75" customHeight="1" thickBot="1" x14ac:dyDescent="0.3">
      <c r="A10" s="483" t="s">
        <v>251</v>
      </c>
      <c r="C10" s="333" t="s">
        <v>270</v>
      </c>
      <c r="D10" s="352">
        <f>'Grille tarifaire'!R35</f>
        <v>7.25</v>
      </c>
      <c r="E10" s="352">
        <f>'Grille tarifaire'!R36</f>
        <v>7.11</v>
      </c>
      <c r="F10" s="352">
        <f>'Grille tarifaire'!R37</f>
        <v>6.91</v>
      </c>
      <c r="G10" s="352">
        <f>'Grille tarifaire'!R38</f>
        <v>6.82</v>
      </c>
      <c r="H10" s="352">
        <f>'Grille tarifaire'!R39</f>
        <v>6.37</v>
      </c>
      <c r="J10" s="333" t="s">
        <v>270</v>
      </c>
      <c r="K10" s="352">
        <f>'Grille tarifaire'!R45</f>
        <v>22.75</v>
      </c>
      <c r="L10" s="352">
        <f>'Grille tarifaire'!R46</f>
        <v>21.08</v>
      </c>
      <c r="M10" s="352">
        <f>'Grille tarifaire'!R47</f>
        <v>14.6</v>
      </c>
      <c r="N10" s="352">
        <f>'Grille tarifaire'!R48</f>
        <v>10.83</v>
      </c>
      <c r="O10" s="352">
        <f>'Grille tarifaire'!R49</f>
        <v>6.76</v>
      </c>
      <c r="Q10" s="333" t="s">
        <v>270</v>
      </c>
      <c r="R10" s="352">
        <f>'Grille tarifaire'!R55</f>
        <v>7.56</v>
      </c>
      <c r="S10" s="352">
        <f>'Grille tarifaire'!R56</f>
        <v>7.06</v>
      </c>
      <c r="T10" s="352">
        <f>'Grille tarifaire'!R57</f>
        <v>6.91</v>
      </c>
      <c r="U10" s="352">
        <f>'Grille tarifaire'!R58</f>
        <v>6.82</v>
      </c>
      <c r="V10" s="352">
        <f>'Grille tarifaire'!R59</f>
        <v>6.37</v>
      </c>
      <c r="X10" s="333" t="s">
        <v>270</v>
      </c>
      <c r="Y10" s="352">
        <f>'Grille tarifaire'!R65</f>
        <v>25.25</v>
      </c>
      <c r="Z10" s="352">
        <f>'Grille tarifaire'!R66</f>
        <v>22.77</v>
      </c>
      <c r="AA10" s="352">
        <f>'Grille tarifaire'!R67</f>
        <v>14.6</v>
      </c>
      <c r="AB10" s="352">
        <f>'Grille tarifaire'!R68</f>
        <v>10.83</v>
      </c>
      <c r="AC10" s="352">
        <f>'Grille tarifaire'!R69</f>
        <v>6.76</v>
      </c>
    </row>
    <row r="11" spans="1:30" ht="27.75" customHeight="1" thickBot="1" x14ac:dyDescent="0.3">
      <c r="A11" s="485"/>
      <c r="C11" s="333" t="s">
        <v>271</v>
      </c>
      <c r="D11" s="352">
        <f>'Grille tarifaire'!R40</f>
        <v>4.42</v>
      </c>
      <c r="E11" s="352">
        <f>'Grille tarifaire'!R41</f>
        <v>3.52</v>
      </c>
      <c r="F11" s="352">
        <f>'Grille tarifaire'!R42</f>
        <v>2.2599999999999998</v>
      </c>
      <c r="G11" s="352">
        <f>'Grille tarifaire'!R43</f>
        <v>1.35</v>
      </c>
      <c r="H11" s="352">
        <f>'Grille tarifaire'!R44</f>
        <v>0.84</v>
      </c>
      <c r="J11" s="333" t="s">
        <v>271</v>
      </c>
      <c r="K11" s="352">
        <f>'Grille tarifaire'!R50</f>
        <v>2.78</v>
      </c>
      <c r="L11" s="352">
        <f>'Grille tarifaire'!R51</f>
        <v>2.11</v>
      </c>
      <c r="M11" s="352">
        <f>'Grille tarifaire'!R52</f>
        <v>1.45</v>
      </c>
      <c r="N11" s="352">
        <f>'Grille tarifaire'!R53</f>
        <v>0.8</v>
      </c>
      <c r="O11" s="352">
        <f>'Grille tarifaire'!R54</f>
        <v>0.67</v>
      </c>
      <c r="Q11" s="333" t="s">
        <v>271</v>
      </c>
      <c r="R11" s="352">
        <f>'Grille tarifaire'!R60</f>
        <v>5.49</v>
      </c>
      <c r="S11" s="352">
        <f>'Grille tarifaire'!R61</f>
        <v>3.38</v>
      </c>
      <c r="T11" s="352">
        <f>'Grille tarifaire'!R62</f>
        <v>2.2599999999999998</v>
      </c>
      <c r="U11" s="352">
        <f>'Grille tarifaire'!R63</f>
        <v>1.35</v>
      </c>
      <c r="V11" s="352">
        <f>'Grille tarifaire'!R64</f>
        <v>0.84</v>
      </c>
      <c r="X11" s="333" t="s">
        <v>271</v>
      </c>
      <c r="Y11" s="352">
        <f>'Grille tarifaire'!R70</f>
        <v>3.21</v>
      </c>
      <c r="Z11" s="352">
        <f>'Grille tarifaire'!R71</f>
        <v>1.92</v>
      </c>
      <c r="AA11" s="352">
        <f>'Grille tarifaire'!R72</f>
        <v>1.45</v>
      </c>
      <c r="AB11" s="352">
        <f>'Grille tarifaire'!R73</f>
        <v>0.8</v>
      </c>
      <c r="AC11" s="352">
        <f>'Grille tarifaire'!R74</f>
        <v>0.67</v>
      </c>
    </row>
    <row r="12" spans="1:30" ht="15.75" thickBot="1" x14ac:dyDescent="0.3"/>
    <row r="13" spans="1:30" ht="27.75" customHeight="1" thickBot="1" x14ac:dyDescent="0.3">
      <c r="A13" s="483" t="s">
        <v>252</v>
      </c>
      <c r="C13" s="333" t="s">
        <v>270</v>
      </c>
      <c r="D13" s="352">
        <f>'Grille tarifaire'!S35</f>
        <v>10.119999999999999</v>
      </c>
      <c r="E13" s="352">
        <f>'Grille tarifaire'!S36</f>
        <v>10.039999999999999</v>
      </c>
      <c r="F13" s="352">
        <f>'Grille tarifaire'!S37</f>
        <v>9.94</v>
      </c>
      <c r="G13" s="352">
        <f>'Grille tarifaire'!S38</f>
        <v>9.89</v>
      </c>
      <c r="H13" s="352">
        <f>'Grille tarifaire'!S39</f>
        <v>9.65</v>
      </c>
      <c r="J13" s="333" t="s">
        <v>270</v>
      </c>
      <c r="K13" s="352">
        <f>'Grille tarifaire'!S45</f>
        <v>27.39</v>
      </c>
      <c r="L13" s="352">
        <f>'Grille tarifaire'!S46</f>
        <v>25.01</v>
      </c>
      <c r="M13" s="352">
        <f>'Grille tarifaire'!S47</f>
        <v>16.010000000000002</v>
      </c>
      <c r="N13" s="352">
        <f>'Grille tarifaire'!S48</f>
        <v>12.49</v>
      </c>
      <c r="O13" s="352">
        <f>'Grille tarifaire'!S49</f>
        <v>9.89</v>
      </c>
      <c r="Q13" s="333" t="s">
        <v>270</v>
      </c>
      <c r="R13" s="352">
        <f>'Grille tarifaire'!S55</f>
        <v>10.28</v>
      </c>
      <c r="S13" s="352">
        <f>'Grille tarifaire'!S56</f>
        <v>10.02</v>
      </c>
      <c r="T13" s="352">
        <f>'Grille tarifaire'!S57</f>
        <v>9.94</v>
      </c>
      <c r="U13" s="352">
        <f>'Grille tarifaire'!S58</f>
        <v>9.89</v>
      </c>
      <c r="V13" s="352">
        <f>'Grille tarifaire'!S59</f>
        <v>9.65</v>
      </c>
      <c r="X13" s="333" t="s">
        <v>270</v>
      </c>
      <c r="Y13" s="352">
        <f>'Grille tarifaire'!S65</f>
        <v>30.04</v>
      </c>
      <c r="Z13" s="352">
        <f>'Grille tarifaire'!S66</f>
        <v>26.81</v>
      </c>
      <c r="AA13" s="352">
        <f>'Grille tarifaire'!S67</f>
        <v>16.010000000000002</v>
      </c>
      <c r="AB13" s="352">
        <f>'Grille tarifaire'!S68</f>
        <v>12.49</v>
      </c>
      <c r="AC13" s="352">
        <f>'Grille tarifaire'!S69</f>
        <v>9.89</v>
      </c>
    </row>
    <row r="14" spans="1:30" ht="27.75" customHeight="1" thickBot="1" x14ac:dyDescent="0.3">
      <c r="A14" s="485"/>
      <c r="C14" s="333" t="s">
        <v>271</v>
      </c>
      <c r="D14" s="352">
        <f>'Grille tarifaire'!S40</f>
        <v>5.35</v>
      </c>
      <c r="E14" s="352">
        <f>'Grille tarifaire'!S41</f>
        <v>4.01</v>
      </c>
      <c r="F14" s="352">
        <f>'Grille tarifaire'!S42</f>
        <v>2.4500000000000002</v>
      </c>
      <c r="G14" s="352">
        <f>'Grille tarifaire'!S43</f>
        <v>1.08</v>
      </c>
      <c r="H14" s="352">
        <f>'Grille tarifaire'!S44</f>
        <v>0.7</v>
      </c>
      <c r="J14" s="333" t="s">
        <v>271</v>
      </c>
      <c r="K14" s="352">
        <f>'Grille tarifaire'!S50</f>
        <v>2.88</v>
      </c>
      <c r="L14" s="352">
        <f>'Grille tarifaire'!S51</f>
        <v>2.19</v>
      </c>
      <c r="M14" s="352">
        <f>'Grille tarifaire'!S52</f>
        <v>1.58</v>
      </c>
      <c r="N14" s="352">
        <f>'Grille tarifaire'!S53</f>
        <v>0.74</v>
      </c>
      <c r="O14" s="352">
        <f>'Grille tarifaire'!S54</f>
        <v>0.59</v>
      </c>
      <c r="Q14" s="333" t="s">
        <v>271</v>
      </c>
      <c r="R14" s="352">
        <f>'Grille tarifaire'!S60</f>
        <v>6.49</v>
      </c>
      <c r="S14" s="352">
        <f>'Grille tarifaire'!S61</f>
        <v>3.87</v>
      </c>
      <c r="T14" s="352">
        <f>'Grille tarifaire'!S62</f>
        <v>2.4500000000000002</v>
      </c>
      <c r="U14" s="352">
        <f>'Grille tarifaire'!S63</f>
        <v>1.08</v>
      </c>
      <c r="V14" s="352">
        <f>'Grille tarifaire'!S64</f>
        <v>0.7</v>
      </c>
      <c r="X14" s="333" t="s">
        <v>271</v>
      </c>
      <c r="Y14" s="352">
        <f>'Grille tarifaire'!S70</f>
        <v>3.33</v>
      </c>
      <c r="Z14" s="352">
        <f>'Grille tarifaire'!S71</f>
        <v>1.99</v>
      </c>
      <c r="AA14" s="352">
        <f>'Grille tarifaire'!S72</f>
        <v>1.58</v>
      </c>
      <c r="AB14" s="352">
        <f>'Grille tarifaire'!S73</f>
        <v>0.74</v>
      </c>
      <c r="AC14" s="352">
        <f>'Grille tarifaire'!S74</f>
        <v>0.59</v>
      </c>
    </row>
    <row r="15" spans="1:30" ht="15.75" thickBot="1" x14ac:dyDescent="0.3"/>
    <row r="16" spans="1:30" ht="27.75" customHeight="1" thickBot="1" x14ac:dyDescent="0.3">
      <c r="A16" s="483" t="s">
        <v>253</v>
      </c>
      <c r="C16" s="333" t="s">
        <v>270</v>
      </c>
      <c r="D16" s="352">
        <f>'Grille tarifaire'!T35</f>
        <v>12.79</v>
      </c>
      <c r="E16" s="352">
        <f>'Grille tarifaire'!T36</f>
        <v>12.79</v>
      </c>
      <c r="F16" s="352">
        <f>'Grille tarifaire'!T37</f>
        <v>12.79</v>
      </c>
      <c r="G16" s="352">
        <f>'Grille tarifaire'!T38</f>
        <v>12.79</v>
      </c>
      <c r="H16" s="352">
        <f>'Grille tarifaire'!T39</f>
        <v>12.79</v>
      </c>
      <c r="J16" s="333" t="s">
        <v>270</v>
      </c>
      <c r="K16" s="352">
        <f>'Grille tarifaire'!T45</f>
        <v>31.21</v>
      </c>
      <c r="L16" s="352">
        <f>'Grille tarifaire'!T46</f>
        <v>28.17</v>
      </c>
      <c r="M16" s="352">
        <f>'Grille tarifaire'!T47</f>
        <v>16.850000000000001</v>
      </c>
      <c r="N16" s="352">
        <f>'Grille tarifaire'!T48</f>
        <v>13.74</v>
      </c>
      <c r="O16" s="352">
        <f>'Grille tarifaire'!T49</f>
        <v>12.84</v>
      </c>
      <c r="Q16" s="333" t="s">
        <v>270</v>
      </c>
      <c r="R16" s="352">
        <f>'Grille tarifaire'!T55</f>
        <v>12.79</v>
      </c>
      <c r="S16" s="352">
        <f>'Grille tarifaire'!T56</f>
        <v>12.79</v>
      </c>
      <c r="T16" s="352">
        <f>'Grille tarifaire'!T57</f>
        <v>12.79</v>
      </c>
      <c r="U16" s="352">
        <f>'Grille tarifaire'!T58</f>
        <v>12.79</v>
      </c>
      <c r="V16" s="352">
        <f>'Grille tarifaire'!T59</f>
        <v>12.79</v>
      </c>
      <c r="X16" s="333" t="s">
        <v>270</v>
      </c>
      <c r="Y16" s="352">
        <f>'Grille tarifaire'!T65</f>
        <v>33.909999999999997</v>
      </c>
      <c r="Z16" s="352">
        <f>'Grille tarifaire'!T66</f>
        <v>30</v>
      </c>
      <c r="AA16" s="352">
        <f>'Grille tarifaire'!T67</f>
        <v>16.850000000000001</v>
      </c>
      <c r="AB16" s="352">
        <f>'Grille tarifaire'!T68</f>
        <v>13.74</v>
      </c>
      <c r="AC16" s="352">
        <f>'Grille tarifaire'!T69</f>
        <v>12.84</v>
      </c>
    </row>
    <row r="17" spans="1:29" ht="27.75" customHeight="1" thickBot="1" x14ac:dyDescent="0.3">
      <c r="A17" s="485"/>
      <c r="C17" s="333" t="s">
        <v>271</v>
      </c>
      <c r="D17" s="352">
        <f>'Grille tarifaire'!T40</f>
        <v>6.12</v>
      </c>
      <c r="E17" s="352">
        <f>'Grille tarifaire'!T41</f>
        <v>4.38</v>
      </c>
      <c r="F17" s="352">
        <f>'Grille tarifaire'!T42</f>
        <v>2.56</v>
      </c>
      <c r="G17" s="352">
        <f>'Grille tarifaire'!T43</f>
        <v>0.75</v>
      </c>
      <c r="H17" s="352">
        <f>'Grille tarifaire'!T44</f>
        <v>0.49</v>
      </c>
      <c r="J17" s="333" t="s">
        <v>271</v>
      </c>
      <c r="K17" s="352">
        <f>'Grille tarifaire'!T50</f>
        <v>2.86</v>
      </c>
      <c r="L17" s="352">
        <f>'Grille tarifaire'!T51</f>
        <v>2.1800000000000002</v>
      </c>
      <c r="M17" s="352">
        <f>'Grille tarifaire'!T52</f>
        <v>1.66</v>
      </c>
      <c r="N17" s="352">
        <f>'Grille tarifaire'!T53</f>
        <v>0.63</v>
      </c>
      <c r="O17" s="352">
        <f>'Grille tarifaire'!T54</f>
        <v>0.48</v>
      </c>
      <c r="Q17" s="333" t="s">
        <v>271</v>
      </c>
      <c r="R17" s="352">
        <f>'Grille tarifaire'!T60</f>
        <v>7.29</v>
      </c>
      <c r="S17" s="352">
        <f>'Grille tarifaire'!T61</f>
        <v>4.22</v>
      </c>
      <c r="T17" s="352">
        <f>'Grille tarifaire'!T62</f>
        <v>2.56</v>
      </c>
      <c r="U17" s="352">
        <f>'Grille tarifaire'!T63</f>
        <v>0.75</v>
      </c>
      <c r="V17" s="352">
        <f>'Grille tarifaire'!T64</f>
        <v>0.49</v>
      </c>
      <c r="X17" s="333" t="s">
        <v>271</v>
      </c>
      <c r="Y17" s="352">
        <f>'Grille tarifaire'!T70</f>
        <v>3.32</v>
      </c>
      <c r="Z17" s="352">
        <f>'Grille tarifaire'!T71</f>
        <v>1.98</v>
      </c>
      <c r="AA17" s="352">
        <f>'Grille tarifaire'!T72</f>
        <v>1.66</v>
      </c>
      <c r="AB17" s="352">
        <f>'Grille tarifaire'!T73</f>
        <v>0.63</v>
      </c>
      <c r="AC17" s="352">
        <f>'Grille tarifaire'!T74</f>
        <v>0.48</v>
      </c>
    </row>
    <row r="19" spans="1:29" x14ac:dyDescent="0.25">
      <c r="D19" s="357"/>
      <c r="E19" s="357"/>
      <c r="F19" s="357"/>
      <c r="G19" s="357"/>
      <c r="H19" s="357"/>
    </row>
    <row r="20" spans="1:29" x14ac:dyDescent="0.25">
      <c r="D20" s="357"/>
      <c r="E20" s="357"/>
      <c r="F20" s="357"/>
      <c r="G20" s="357"/>
      <c r="H20" s="357"/>
    </row>
    <row r="22" spans="1:29" x14ac:dyDescent="0.25">
      <c r="D22" s="357"/>
      <c r="E22" s="357"/>
      <c r="F22" s="357"/>
      <c r="G22" s="357"/>
      <c r="H22" s="357"/>
    </row>
    <row r="23" spans="1:29" x14ac:dyDescent="0.25">
      <c r="D23" s="357"/>
      <c r="E23" s="357"/>
      <c r="F23" s="357"/>
      <c r="G23" s="357"/>
      <c r="H23" s="357"/>
    </row>
    <row r="25" spans="1:29" x14ac:dyDescent="0.25">
      <c r="D25" s="357"/>
      <c r="E25" s="357"/>
      <c r="F25" s="357"/>
      <c r="G25" s="357"/>
      <c r="H25" s="357"/>
    </row>
    <row r="26" spans="1:29" x14ac:dyDescent="0.25">
      <c r="D26" s="357"/>
      <c r="E26" s="357"/>
      <c r="F26" s="357"/>
      <c r="G26" s="357"/>
      <c r="H26" s="357"/>
    </row>
    <row r="28" spans="1:29" x14ac:dyDescent="0.25">
      <c r="D28" s="357"/>
      <c r="E28" s="357"/>
      <c r="F28" s="357"/>
      <c r="G28" s="357"/>
      <c r="H28" s="357"/>
    </row>
    <row r="29" spans="1:29" x14ac:dyDescent="0.25">
      <c r="D29" s="357"/>
      <c r="E29" s="357"/>
      <c r="F29" s="357"/>
      <c r="G29" s="357"/>
      <c r="H29" s="357"/>
    </row>
    <row r="38" ht="28.5" customHeight="1" x14ac:dyDescent="0.25"/>
  </sheetData>
  <mergeCells count="9">
    <mergeCell ref="A16:A17"/>
    <mergeCell ref="J4:O4"/>
    <mergeCell ref="Q4:V4"/>
    <mergeCell ref="X4:AC4"/>
    <mergeCell ref="C2:K2"/>
    <mergeCell ref="C4:H4"/>
    <mergeCell ref="A7:A8"/>
    <mergeCell ref="A10:A11"/>
    <mergeCell ref="A13:A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1CCA-3728-40FC-90CE-079045E69098}">
  <sheetPr>
    <tabColor theme="4"/>
  </sheetPr>
  <dimension ref="A1:AU38"/>
  <sheetViews>
    <sheetView zoomScaleNormal="100" workbookViewId="0">
      <pane xSplit="1" ySplit="6" topLeftCell="B7" activePane="bottomRight" state="frozen"/>
      <selection pane="topRight" activeCell="B1" sqref="B1"/>
      <selection pane="bottomLeft" activeCell="A7" sqref="A7"/>
      <selection pane="bottomRight" activeCell="A13" sqref="A13:A14"/>
    </sheetView>
  </sheetViews>
  <sheetFormatPr baseColWidth="10" defaultColWidth="9.28515625" defaultRowHeight="15" x14ac:dyDescent="0.25"/>
  <cols>
    <col min="1" max="1" width="17.7109375" customWidth="1"/>
    <col min="2" max="2" width="4.28515625" customWidth="1"/>
    <col min="3" max="3" width="31.5703125" customWidth="1"/>
    <col min="4" max="7" width="15.7109375" customWidth="1"/>
    <col min="8" max="8" width="4.42578125" customWidth="1"/>
    <col min="9" max="9" width="31.5703125" customWidth="1"/>
    <col min="10" max="13" width="15.7109375" customWidth="1"/>
    <col min="14" max="14" width="4.42578125" customWidth="1"/>
    <col min="15" max="15" width="31.5703125" customWidth="1"/>
    <col min="16" max="19" width="15.7109375" customWidth="1"/>
    <col min="20" max="20" width="4.42578125" customWidth="1"/>
    <col min="21" max="21" width="31.5703125" customWidth="1"/>
    <col min="22" max="29" width="15.7109375" customWidth="1"/>
    <col min="30" max="30" width="4.42578125" customWidth="1"/>
    <col min="31" max="31" width="31.5703125" customWidth="1"/>
    <col min="32" max="35" width="15.7109375" customWidth="1"/>
    <col min="36" max="36" width="4.42578125" customWidth="1"/>
    <col min="37" max="37" width="31.5703125" customWidth="1"/>
    <col min="38" max="45" width="15.7109375" customWidth="1"/>
    <col min="47" max="47" width="50.7109375" customWidth="1"/>
  </cols>
  <sheetData>
    <row r="1" spans="1:47" x14ac:dyDescent="0.25">
      <c r="C1" s="338" t="s">
        <v>0</v>
      </c>
      <c r="I1" s="338"/>
      <c r="O1" s="338"/>
      <c r="U1" s="338"/>
      <c r="AE1" s="338"/>
      <c r="AK1" s="338"/>
    </row>
    <row r="2" spans="1:47" ht="48" customHeight="1" x14ac:dyDescent="0.25">
      <c r="C2" s="486" t="s">
        <v>283</v>
      </c>
      <c r="D2" s="486"/>
      <c r="E2" s="486"/>
      <c r="F2" s="486"/>
      <c r="G2" s="486"/>
      <c r="H2" s="486"/>
      <c r="I2" s="486"/>
      <c r="J2" s="486"/>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row>
    <row r="4" spans="1:47" ht="25.15" customHeight="1" x14ac:dyDescent="0.25">
      <c r="C4" s="449" t="s">
        <v>284</v>
      </c>
      <c r="D4" s="450"/>
      <c r="E4" s="450"/>
      <c r="F4" s="450"/>
      <c r="G4" s="450"/>
      <c r="I4" s="449" t="s">
        <v>286</v>
      </c>
      <c r="J4" s="450"/>
      <c r="K4" s="450"/>
      <c r="L4" s="450"/>
      <c r="M4" s="450"/>
      <c r="O4" s="449" t="s">
        <v>288</v>
      </c>
      <c r="P4" s="450"/>
      <c r="Q4" s="450"/>
      <c r="R4" s="450"/>
      <c r="S4" s="450"/>
      <c r="U4" s="449" t="s">
        <v>294</v>
      </c>
      <c r="V4" s="450"/>
      <c r="W4" s="450"/>
      <c r="X4" s="450"/>
      <c r="Y4" s="450"/>
      <c r="Z4" s="450"/>
      <c r="AA4" s="450"/>
      <c r="AB4" s="450"/>
      <c r="AC4" s="450"/>
      <c r="AE4" s="449" t="s">
        <v>304</v>
      </c>
      <c r="AF4" s="450"/>
      <c r="AG4" s="450"/>
      <c r="AH4" s="450"/>
      <c r="AI4" s="450"/>
      <c r="AK4" s="449" t="s">
        <v>306</v>
      </c>
      <c r="AL4" s="450"/>
      <c r="AM4" s="450"/>
      <c r="AN4" s="450"/>
      <c r="AO4" s="450"/>
      <c r="AP4" s="450"/>
      <c r="AQ4" s="450"/>
      <c r="AR4" s="450"/>
      <c r="AS4" s="450"/>
      <c r="AU4" s="330" t="s">
        <v>307</v>
      </c>
    </row>
    <row r="5" spans="1:47" ht="15.75" thickBot="1" x14ac:dyDescent="0.3">
      <c r="S5" s="339"/>
      <c r="AC5" s="339"/>
      <c r="AI5" s="339"/>
      <c r="AS5" s="339"/>
    </row>
    <row r="6" spans="1:47" ht="41.25" thickBot="1" x14ac:dyDescent="0.3">
      <c r="B6" s="340"/>
      <c r="C6" s="348" t="s">
        <v>285</v>
      </c>
      <c r="D6" s="349" t="s">
        <v>289</v>
      </c>
      <c r="E6" s="356" t="s">
        <v>290</v>
      </c>
      <c r="F6" s="356" t="s">
        <v>291</v>
      </c>
      <c r="G6" s="356" t="s">
        <v>292</v>
      </c>
      <c r="I6" s="348" t="s">
        <v>287</v>
      </c>
      <c r="J6" s="349" t="s">
        <v>289</v>
      </c>
      <c r="K6" s="356" t="s">
        <v>290</v>
      </c>
      <c r="L6" s="356" t="s">
        <v>291</v>
      </c>
      <c r="M6" s="356" t="s">
        <v>292</v>
      </c>
      <c r="O6" s="348" t="s">
        <v>293</v>
      </c>
      <c r="P6" s="349" t="s">
        <v>289</v>
      </c>
      <c r="Q6" s="356" t="s">
        <v>290</v>
      </c>
      <c r="R6" s="356" t="s">
        <v>291</v>
      </c>
      <c r="S6" s="356" t="s">
        <v>292</v>
      </c>
      <c r="U6" s="348" t="s">
        <v>293</v>
      </c>
      <c r="V6" s="349" t="s">
        <v>295</v>
      </c>
      <c r="W6" s="349" t="s">
        <v>297</v>
      </c>
      <c r="X6" s="349" t="s">
        <v>296</v>
      </c>
      <c r="Y6" s="349" t="s">
        <v>298</v>
      </c>
      <c r="Z6" s="349" t="s">
        <v>299</v>
      </c>
      <c r="AA6" s="349" t="s">
        <v>300</v>
      </c>
      <c r="AB6" s="349" t="s">
        <v>301</v>
      </c>
      <c r="AC6" s="359" t="s">
        <v>302</v>
      </c>
      <c r="AE6" s="348" t="s">
        <v>305</v>
      </c>
      <c r="AF6" s="349" t="s">
        <v>289</v>
      </c>
      <c r="AG6" s="356" t="s">
        <v>290</v>
      </c>
      <c r="AH6" s="356" t="s">
        <v>291</v>
      </c>
      <c r="AI6" s="356" t="s">
        <v>292</v>
      </c>
      <c r="AK6" s="348" t="s">
        <v>305</v>
      </c>
      <c r="AL6" s="349" t="s">
        <v>295</v>
      </c>
      <c r="AM6" s="349" t="s">
        <v>297</v>
      </c>
      <c r="AN6" s="349" t="s">
        <v>296</v>
      </c>
      <c r="AO6" s="349" t="s">
        <v>298</v>
      </c>
      <c r="AP6" s="349" t="s">
        <v>299</v>
      </c>
      <c r="AQ6" s="349" t="s">
        <v>300</v>
      </c>
      <c r="AR6" s="349" t="s">
        <v>301</v>
      </c>
      <c r="AS6" s="359" t="s">
        <v>302</v>
      </c>
      <c r="AU6" s="348" t="s">
        <v>308</v>
      </c>
    </row>
    <row r="7" spans="1:47" ht="27.75" thickBot="1" x14ac:dyDescent="0.3">
      <c r="A7" s="483" t="s">
        <v>250</v>
      </c>
      <c r="C7" s="333" t="s">
        <v>270</v>
      </c>
      <c r="D7" s="351">
        <f>'Grille tarifaire'!Q75</f>
        <v>11.61</v>
      </c>
      <c r="E7" s="351">
        <f>'Grille tarifaire'!Q76</f>
        <v>7.11</v>
      </c>
      <c r="F7" s="351">
        <f>'Grille tarifaire'!Q77</f>
        <v>5.9</v>
      </c>
      <c r="G7" s="351">
        <f>'Grille tarifaire'!Q78</f>
        <v>3.74</v>
      </c>
      <c r="I7" s="333" t="s">
        <v>270</v>
      </c>
      <c r="J7" s="351">
        <f>'Grille tarifaire'!Q83</f>
        <v>20.57</v>
      </c>
      <c r="K7" s="351">
        <f>'Grille tarifaire'!Q84</f>
        <v>12.51</v>
      </c>
      <c r="L7" s="351">
        <f>'Grille tarifaire'!Q85</f>
        <v>10.48</v>
      </c>
      <c r="M7" s="351">
        <f>'Grille tarifaire'!Q86</f>
        <v>5.95</v>
      </c>
      <c r="O7" s="333" t="s">
        <v>270</v>
      </c>
      <c r="P7" s="351">
        <f>'Grille tarifaire'!Q91</f>
        <v>11.67</v>
      </c>
      <c r="Q7" s="351">
        <f>'Grille tarifaire'!Q92</f>
        <v>6.87</v>
      </c>
      <c r="R7" s="351">
        <f>'Grille tarifaire'!Q93</f>
        <v>5.34</v>
      </c>
      <c r="S7" s="351">
        <f>'Grille tarifaire'!Q94</f>
        <v>3.4</v>
      </c>
      <c r="U7" s="333" t="s">
        <v>271</v>
      </c>
      <c r="V7" s="351">
        <f>'Grille tarifaire'!Q95</f>
        <v>5.24</v>
      </c>
      <c r="W7" s="351">
        <f>'Grille tarifaire'!Q96</f>
        <v>2.88</v>
      </c>
      <c r="X7" s="351">
        <f>'Grille tarifaire'!Q97</f>
        <v>2.06</v>
      </c>
      <c r="Y7" s="351">
        <f>'Grille tarifaire'!Q98</f>
        <v>1.81</v>
      </c>
      <c r="Z7" s="351">
        <f>'Grille tarifaire'!Q99</f>
        <v>2.93</v>
      </c>
      <c r="AA7" s="351">
        <f>'Grille tarifaire'!Q100</f>
        <v>1.78</v>
      </c>
      <c r="AB7" s="351">
        <f>'Grille tarifaire'!Q101</f>
        <v>0.76</v>
      </c>
      <c r="AC7" s="351">
        <f>'Grille tarifaire'!Q102</f>
        <v>0.56000000000000005</v>
      </c>
      <c r="AE7" s="333" t="s">
        <v>270</v>
      </c>
      <c r="AF7" s="351">
        <f>'Grille tarifaire'!Q103</f>
        <v>21.05</v>
      </c>
      <c r="AG7" s="351">
        <f>'Grille tarifaire'!Q104</f>
        <v>12.82</v>
      </c>
      <c r="AH7" s="351">
        <f>'Grille tarifaire'!Q105</f>
        <v>9.9499999999999993</v>
      </c>
      <c r="AI7" s="351">
        <f>'Grille tarifaire'!Q106</f>
        <v>5.84</v>
      </c>
      <c r="AK7" s="333" t="s">
        <v>271</v>
      </c>
      <c r="AL7" s="351">
        <f>'Grille tarifaire'!Q107</f>
        <v>4.57</v>
      </c>
      <c r="AM7" s="351">
        <f>'Grille tarifaire'!Q108</f>
        <v>2.68</v>
      </c>
      <c r="AN7" s="351">
        <f>'Grille tarifaire'!Q109</f>
        <v>1.84</v>
      </c>
      <c r="AO7" s="351">
        <f>'Grille tarifaire'!Q110</f>
        <v>1.27</v>
      </c>
      <c r="AP7" s="351">
        <f>'Grille tarifaire'!Q111</f>
        <v>2.93</v>
      </c>
      <c r="AQ7" s="351">
        <f>'Grille tarifaire'!Q112</f>
        <v>1.78</v>
      </c>
      <c r="AR7" s="351">
        <f>'Grille tarifaire'!Q113</f>
        <v>0.76</v>
      </c>
      <c r="AS7" s="351">
        <f>'Grille tarifaire'!Q114</f>
        <v>0.56000000000000005</v>
      </c>
      <c r="AU7" s="333">
        <f>'Grille tarifaire'!Q115</f>
        <v>10.29</v>
      </c>
    </row>
    <row r="8" spans="1:47" ht="27.75" thickBot="1" x14ac:dyDescent="0.3">
      <c r="A8" s="485"/>
      <c r="C8" s="333" t="s">
        <v>271</v>
      </c>
      <c r="D8" s="351">
        <f>'Grille tarifaire'!Q79</f>
        <v>5.15</v>
      </c>
      <c r="E8" s="351">
        <f>'Grille tarifaire'!Q80</f>
        <v>3.36</v>
      </c>
      <c r="F8" s="351">
        <f>'Grille tarifaire'!Q81</f>
        <v>2.2799999999999998</v>
      </c>
      <c r="G8" s="351">
        <f>'Grille tarifaire'!Q82</f>
        <v>1.8</v>
      </c>
      <c r="I8" s="333" t="s">
        <v>271</v>
      </c>
      <c r="J8" s="351">
        <f>'Grille tarifaire'!Q87</f>
        <v>4.43</v>
      </c>
      <c r="K8" s="351">
        <f>'Grille tarifaire'!Q88</f>
        <v>3.11</v>
      </c>
      <c r="L8" s="351">
        <f>'Grille tarifaire'!Q89</f>
        <v>2</v>
      </c>
      <c r="M8" s="351">
        <f>'Grille tarifaire'!Q90</f>
        <v>1.7</v>
      </c>
      <c r="W8" t="s">
        <v>303</v>
      </c>
      <c r="AA8" t="s">
        <v>303</v>
      </c>
      <c r="AB8" t="s">
        <v>303</v>
      </c>
      <c r="AG8" t="s">
        <v>303</v>
      </c>
      <c r="AM8" t="s">
        <v>303</v>
      </c>
      <c r="AQ8" t="s">
        <v>303</v>
      </c>
      <c r="AR8" t="s">
        <v>303</v>
      </c>
    </row>
    <row r="9" spans="1:47" ht="15.75" thickBot="1" x14ac:dyDescent="0.3">
      <c r="V9" t="s">
        <v>303</v>
      </c>
      <c r="AF9" t="s">
        <v>303</v>
      </c>
      <c r="AL9" t="s">
        <v>303</v>
      </c>
    </row>
    <row r="10" spans="1:47" ht="27.75" customHeight="1" thickBot="1" x14ac:dyDescent="0.3">
      <c r="A10" s="483" t="s">
        <v>251</v>
      </c>
      <c r="C10" s="333" t="s">
        <v>270</v>
      </c>
      <c r="D10" s="352">
        <f>'Grille tarifaire'!R75</f>
        <v>12.82</v>
      </c>
      <c r="E10" s="352">
        <f>'Grille tarifaire'!R76</f>
        <v>8.94</v>
      </c>
      <c r="F10" s="352">
        <f>'Grille tarifaire'!R77</f>
        <v>7.99</v>
      </c>
      <c r="G10" s="352">
        <f>'Grille tarifaire'!R78</f>
        <v>6.4</v>
      </c>
      <c r="I10" s="333" t="s">
        <v>270</v>
      </c>
      <c r="J10" s="352">
        <f>'Grille tarifaire'!R83</f>
        <v>22.04</v>
      </c>
      <c r="K10" s="352">
        <f>'Grille tarifaire'!R84</f>
        <v>13.65</v>
      </c>
      <c r="L10" s="352">
        <f>'Grille tarifaire'!R85</f>
        <v>11.67</v>
      </c>
      <c r="M10" s="352">
        <f>'Grille tarifaire'!R86</f>
        <v>8.1199999999999992</v>
      </c>
      <c r="O10" s="333" t="s">
        <v>270</v>
      </c>
      <c r="P10" s="352">
        <f>'Grille tarifaire'!R91</f>
        <v>12.89</v>
      </c>
      <c r="Q10" s="352">
        <f>'Grille tarifaire'!R92</f>
        <v>8.6300000000000008</v>
      </c>
      <c r="R10" s="352">
        <f>'Grille tarifaire'!R93</f>
        <v>7.23</v>
      </c>
      <c r="S10" s="352">
        <f>'Grille tarifaire'!R94</f>
        <v>5.84</v>
      </c>
      <c r="U10" s="333" t="s">
        <v>271</v>
      </c>
      <c r="V10" s="352">
        <f>'Grille tarifaire'!R95</f>
        <v>5.37</v>
      </c>
      <c r="W10" s="352">
        <f>'Grille tarifaire'!R96</f>
        <v>3.13</v>
      </c>
      <c r="X10" s="352">
        <f>'Grille tarifaire'!R97</f>
        <v>2.06</v>
      </c>
      <c r="Y10" s="352">
        <f>'Grille tarifaire'!R98</f>
        <v>1.73</v>
      </c>
      <c r="Z10" s="352">
        <f>'Grille tarifaire'!R99</f>
        <v>3.01</v>
      </c>
      <c r="AA10" s="352">
        <f>'Grille tarifaire'!R100</f>
        <v>1.93</v>
      </c>
      <c r="AB10" s="352">
        <f>'Grille tarifaire'!R101</f>
        <v>0.76</v>
      </c>
      <c r="AC10" s="352">
        <f>'Grille tarifaire'!R102</f>
        <v>0.53</v>
      </c>
      <c r="AE10" s="333" t="s">
        <v>270</v>
      </c>
      <c r="AF10" s="352">
        <f>'Grille tarifaire'!R103</f>
        <v>22.56</v>
      </c>
      <c r="AG10" s="352">
        <f>'Grille tarifaire'!R104</f>
        <v>13.99</v>
      </c>
      <c r="AH10" s="352">
        <f>'Grille tarifaire'!R105</f>
        <v>11.07</v>
      </c>
      <c r="AI10" s="352">
        <f>'Grille tarifaire'!R106</f>
        <v>7.97</v>
      </c>
      <c r="AK10" s="333" t="s">
        <v>271</v>
      </c>
      <c r="AL10" s="352">
        <f>'Grille tarifaire'!R107</f>
        <v>4.6399999999999997</v>
      </c>
      <c r="AM10" s="352">
        <f>'Grille tarifaire'!R108</f>
        <v>2.83</v>
      </c>
      <c r="AN10" s="352">
        <f>'Grille tarifaire'!R109</f>
        <v>1.87</v>
      </c>
      <c r="AO10" s="352">
        <f>'Grille tarifaire'!R110</f>
        <v>1.18</v>
      </c>
      <c r="AP10" s="352">
        <f>'Grille tarifaire'!R111</f>
        <v>3.01</v>
      </c>
      <c r="AQ10" s="352">
        <f>'Grille tarifaire'!R112</f>
        <v>1.93</v>
      </c>
      <c r="AR10" s="352">
        <f>'Grille tarifaire'!R113</f>
        <v>0.76</v>
      </c>
      <c r="AS10" s="352">
        <f>'Grille tarifaire'!R114</f>
        <v>0.53</v>
      </c>
      <c r="AU10" s="333">
        <f>'Grille tarifaire'!R115</f>
        <v>10.52</v>
      </c>
    </row>
    <row r="11" spans="1:47" ht="27.75" customHeight="1" thickBot="1" x14ac:dyDescent="0.3">
      <c r="A11" s="485"/>
      <c r="C11" s="333" t="s">
        <v>271</v>
      </c>
      <c r="D11" s="352">
        <f>'Grille tarifaire'!R79</f>
        <v>5.28</v>
      </c>
      <c r="E11" s="352">
        <f>'Grille tarifaire'!R80</f>
        <v>3.64</v>
      </c>
      <c r="F11" s="352">
        <f>'Grille tarifaire'!R81</f>
        <v>2.2799999999999998</v>
      </c>
      <c r="G11" s="352">
        <f>'Grille tarifaire'!R82</f>
        <v>1.73</v>
      </c>
      <c r="I11" s="333" t="s">
        <v>271</v>
      </c>
      <c r="J11" s="352">
        <f>'Grille tarifaire'!R87</f>
        <v>4.5</v>
      </c>
      <c r="K11" s="352">
        <f>'Grille tarifaire'!R88</f>
        <v>3.29</v>
      </c>
      <c r="L11" s="352">
        <f>'Grille tarifaire'!R89</f>
        <v>2.0299999999999998</v>
      </c>
      <c r="M11" s="352">
        <f>'Grille tarifaire'!R90</f>
        <v>1.57</v>
      </c>
    </row>
    <row r="12" spans="1:47" ht="15.75" thickBot="1" x14ac:dyDescent="0.3">
      <c r="V12" t="s">
        <v>303</v>
      </c>
      <c r="W12" t="s">
        <v>303</v>
      </c>
      <c r="X12" t="s">
        <v>303</v>
      </c>
      <c r="Y12" t="s">
        <v>303</v>
      </c>
      <c r="Z12" t="s">
        <v>303</v>
      </c>
      <c r="AA12" t="s">
        <v>303</v>
      </c>
      <c r="AB12" t="s">
        <v>303</v>
      </c>
      <c r="AC12" t="s">
        <v>303</v>
      </c>
      <c r="AF12" t="s">
        <v>303</v>
      </c>
      <c r="AG12" t="s">
        <v>303</v>
      </c>
      <c r="AH12" t="s">
        <v>303</v>
      </c>
      <c r="AI12" t="s">
        <v>303</v>
      </c>
      <c r="AL12" t="s">
        <v>303</v>
      </c>
      <c r="AM12" t="s">
        <v>303</v>
      </c>
      <c r="AN12" t="s">
        <v>303</v>
      </c>
      <c r="AO12" t="s">
        <v>303</v>
      </c>
      <c r="AP12" t="s">
        <v>303</v>
      </c>
      <c r="AQ12" t="s">
        <v>303</v>
      </c>
      <c r="AR12" t="s">
        <v>303</v>
      </c>
      <c r="AS12" t="s">
        <v>303</v>
      </c>
    </row>
    <row r="13" spans="1:47" ht="27.75" customHeight="1" thickBot="1" x14ac:dyDescent="0.3">
      <c r="A13" s="483" t="s">
        <v>252</v>
      </c>
      <c r="C13" s="333" t="s">
        <v>270</v>
      </c>
      <c r="D13" s="352">
        <f>'Grille tarifaire'!S75</f>
        <v>14.67</v>
      </c>
      <c r="E13" s="352">
        <f>'Grille tarifaire'!S76</f>
        <v>11.29</v>
      </c>
      <c r="F13" s="352">
        <f>'Grille tarifaire'!S77</f>
        <v>10.59</v>
      </c>
      <c r="G13" s="352">
        <f>'Grille tarifaire'!S78</f>
        <v>9.57</v>
      </c>
      <c r="I13" s="333" t="s">
        <v>270</v>
      </c>
      <c r="J13" s="352">
        <f>'Grille tarifaire'!S83</f>
        <v>24.55</v>
      </c>
      <c r="K13" s="352">
        <f>'Grille tarifaire'!S84</f>
        <v>15.46</v>
      </c>
      <c r="L13" s="352">
        <f>'Grille tarifaire'!S85</f>
        <v>13.44</v>
      </c>
      <c r="M13" s="352">
        <f>'Grille tarifaire'!S86</f>
        <v>10.82</v>
      </c>
      <c r="O13" s="333" t="s">
        <v>270</v>
      </c>
      <c r="P13" s="352">
        <f>'Grille tarifaire'!S91</f>
        <v>14.76</v>
      </c>
      <c r="Q13" s="352">
        <f>'Grille tarifaire'!S92</f>
        <v>10.91</v>
      </c>
      <c r="R13" s="352">
        <f>'Grille tarifaire'!S93</f>
        <v>9.57</v>
      </c>
      <c r="S13" s="352">
        <f>'Grille tarifaire'!S94</f>
        <v>8.7200000000000006</v>
      </c>
      <c r="U13" s="333" t="s">
        <v>271</v>
      </c>
      <c r="V13" s="352">
        <f>'Grille tarifaire'!S95</f>
        <v>5.73</v>
      </c>
      <c r="W13" s="352">
        <f>'Grille tarifaire'!S96</f>
        <v>3.53</v>
      </c>
      <c r="X13" s="352">
        <f>'Grille tarifaire'!S97</f>
        <v>2.13</v>
      </c>
      <c r="Y13" s="352">
        <f>'Grille tarifaire'!S98</f>
        <v>1.72</v>
      </c>
      <c r="Z13" s="352">
        <f>'Grille tarifaire'!S99</f>
        <v>3.2</v>
      </c>
      <c r="AA13" s="352">
        <f>'Grille tarifaire'!S100</f>
        <v>2.1800000000000002</v>
      </c>
      <c r="AB13" s="352">
        <f>'Grille tarifaire'!S101</f>
        <v>0.78</v>
      </c>
      <c r="AC13" s="352">
        <f>'Grille tarifaire'!S102</f>
        <v>0.53</v>
      </c>
      <c r="AE13" s="333" t="s">
        <v>270</v>
      </c>
      <c r="AF13" s="352">
        <f>'Grille tarifaire'!S103</f>
        <v>25.12</v>
      </c>
      <c r="AG13" s="352">
        <f>'Grille tarifaire'!S104</f>
        <v>15.85</v>
      </c>
      <c r="AH13" s="352">
        <f>'Grille tarifaire'!S105</f>
        <v>12.75</v>
      </c>
      <c r="AI13" s="352">
        <f>'Grille tarifaire'!S106</f>
        <v>10.6</v>
      </c>
      <c r="AK13" s="333" t="s">
        <v>271</v>
      </c>
      <c r="AL13" s="352">
        <f>'Grille tarifaire'!S107</f>
        <v>4.9000000000000004</v>
      </c>
      <c r="AM13" s="352">
        <f>'Grille tarifaire'!S108</f>
        <v>3.13</v>
      </c>
      <c r="AN13" s="352">
        <f>'Grille tarifaire'!S109</f>
        <v>1.98</v>
      </c>
      <c r="AO13" s="352">
        <f>'Grille tarifaire'!S110</f>
        <v>1.1200000000000001</v>
      </c>
      <c r="AP13" s="352">
        <f>'Grille tarifaire'!S111</f>
        <v>3.2</v>
      </c>
      <c r="AQ13" s="352">
        <f>'Grille tarifaire'!S112</f>
        <v>2.1800000000000002</v>
      </c>
      <c r="AR13" s="352">
        <f>'Grille tarifaire'!S113</f>
        <v>0.78</v>
      </c>
      <c r="AS13" s="352">
        <f>'Grille tarifaire'!S114</f>
        <v>0.53</v>
      </c>
      <c r="AU13" s="333">
        <f>'Grille tarifaire'!S115</f>
        <v>11.21</v>
      </c>
    </row>
    <row r="14" spans="1:47" ht="27.75" customHeight="1" thickBot="1" x14ac:dyDescent="0.3">
      <c r="A14" s="485"/>
      <c r="C14" s="333" t="s">
        <v>271</v>
      </c>
      <c r="D14" s="352">
        <f>'Grille tarifaire'!S79</f>
        <v>5.63</v>
      </c>
      <c r="E14" s="352">
        <f>'Grille tarifaire'!S80</f>
        <v>4.1100000000000003</v>
      </c>
      <c r="F14" s="352">
        <f>'Grille tarifaire'!S81</f>
        <v>2.37</v>
      </c>
      <c r="G14" s="352">
        <f>'Grille tarifaire'!S82</f>
        <v>1.72</v>
      </c>
      <c r="I14" s="333" t="s">
        <v>271</v>
      </c>
      <c r="J14" s="352">
        <f>'Grille tarifaire'!S87</f>
        <v>4.76</v>
      </c>
      <c r="K14" s="352">
        <f>'Grille tarifaire'!S88</f>
        <v>3.63</v>
      </c>
      <c r="L14" s="352">
        <f>'Grille tarifaire'!S89</f>
        <v>2.16</v>
      </c>
      <c r="M14" s="352">
        <f>'Grille tarifaire'!S90</f>
        <v>1.5</v>
      </c>
    </row>
    <row r="15" spans="1:47" ht="15.75" thickBot="1" x14ac:dyDescent="0.3">
      <c r="V15" t="s">
        <v>303</v>
      </c>
      <c r="W15" t="s">
        <v>303</v>
      </c>
      <c r="X15" t="s">
        <v>303</v>
      </c>
      <c r="Y15" t="s">
        <v>303</v>
      </c>
      <c r="Z15" t="s">
        <v>303</v>
      </c>
      <c r="AA15" t="s">
        <v>303</v>
      </c>
      <c r="AB15" t="s">
        <v>303</v>
      </c>
      <c r="AC15" t="s">
        <v>303</v>
      </c>
      <c r="AF15" t="s">
        <v>303</v>
      </c>
      <c r="AG15" t="s">
        <v>303</v>
      </c>
      <c r="AH15" t="s">
        <v>303</v>
      </c>
      <c r="AI15" t="s">
        <v>303</v>
      </c>
      <c r="AL15" t="s">
        <v>303</v>
      </c>
      <c r="AM15" t="s">
        <v>303</v>
      </c>
      <c r="AN15" t="s">
        <v>303</v>
      </c>
      <c r="AO15" t="s">
        <v>303</v>
      </c>
      <c r="AP15" t="s">
        <v>303</v>
      </c>
      <c r="AQ15" t="s">
        <v>303</v>
      </c>
      <c r="AR15" t="s">
        <v>303</v>
      </c>
      <c r="AS15" t="s">
        <v>303</v>
      </c>
    </row>
    <row r="16" spans="1:47" ht="27.75" customHeight="1" thickBot="1" x14ac:dyDescent="0.3">
      <c r="A16" s="483" t="s">
        <v>253</v>
      </c>
      <c r="C16" s="333" t="s">
        <v>270</v>
      </c>
      <c r="D16" s="352">
        <f>'Grille tarifaire'!T75</f>
        <v>16.03</v>
      </c>
      <c r="E16" s="352">
        <f>'Grille tarifaire'!T76</f>
        <v>13.36</v>
      </c>
      <c r="F16" s="352">
        <f>'Grille tarifaire'!T77</f>
        <v>12.94</v>
      </c>
      <c r="G16" s="352">
        <f>'Grille tarifaire'!T78</f>
        <v>12.6</v>
      </c>
      <c r="I16" s="333" t="s">
        <v>270</v>
      </c>
      <c r="J16" s="352">
        <f>'Grille tarifaire'!T83</f>
        <v>26.18</v>
      </c>
      <c r="K16" s="352">
        <f>'Grille tarifaire'!T84</f>
        <v>16.73</v>
      </c>
      <c r="L16" s="352">
        <f>'Grille tarifaire'!T85</f>
        <v>14.76</v>
      </c>
      <c r="M16" s="352">
        <f>'Grille tarifaire'!T86</f>
        <v>13.25</v>
      </c>
      <c r="O16" s="333" t="s">
        <v>270</v>
      </c>
      <c r="P16" s="352">
        <f>'Grille tarifaire'!T91</f>
        <v>16.12</v>
      </c>
      <c r="Q16" s="352">
        <f>'Grille tarifaire'!T92</f>
        <v>12.9</v>
      </c>
      <c r="R16" s="352">
        <f>'Grille tarifaire'!T93</f>
        <v>11.71</v>
      </c>
      <c r="S16" s="352">
        <f>'Grille tarifaire'!T94</f>
        <v>11.47</v>
      </c>
      <c r="U16" s="333" t="s">
        <v>271</v>
      </c>
      <c r="V16" s="352">
        <f>'Grille tarifaire'!T95</f>
        <v>5.87</v>
      </c>
      <c r="W16" s="352">
        <f>'Grille tarifaire'!T96</f>
        <v>3.81</v>
      </c>
      <c r="X16" s="352">
        <f>'Grille tarifaire'!T97</f>
        <v>2.14</v>
      </c>
      <c r="Y16" s="352">
        <f>'Grille tarifaire'!T98</f>
        <v>1.64</v>
      </c>
      <c r="Z16" s="352">
        <f>'Grille tarifaire'!T99</f>
        <v>3.28</v>
      </c>
      <c r="AA16" s="352">
        <f>'Grille tarifaire'!T100</f>
        <v>2.35</v>
      </c>
      <c r="AB16" s="352">
        <f>'Grille tarifaire'!T101</f>
        <v>0.79</v>
      </c>
      <c r="AC16" s="352">
        <f>'Grille tarifaire'!T102</f>
        <v>0.5</v>
      </c>
      <c r="AE16" s="333" t="s">
        <v>270</v>
      </c>
      <c r="AF16" s="352">
        <f>'Grille tarifaire'!T103</f>
        <v>26.79</v>
      </c>
      <c r="AG16" s="352">
        <f>'Grille tarifaire'!T104</f>
        <v>17.149999999999999</v>
      </c>
      <c r="AH16" s="352">
        <f>'Grille tarifaire'!T105</f>
        <v>14.01</v>
      </c>
      <c r="AI16" s="352">
        <f>'Grille tarifaire'!T106</f>
        <v>13</v>
      </c>
      <c r="AK16" s="333" t="s">
        <v>271</v>
      </c>
      <c r="AL16" s="352">
        <f>'Grille tarifaire'!T107</f>
        <v>4.97</v>
      </c>
      <c r="AM16" s="352">
        <f>'Grille tarifaire'!T108</f>
        <v>3.29</v>
      </c>
      <c r="AN16" s="352">
        <f>'Grille tarifaire'!T109</f>
        <v>2.0099999999999998</v>
      </c>
      <c r="AO16" s="352">
        <f>'Grille tarifaire'!T110</f>
        <v>1.01</v>
      </c>
      <c r="AP16" s="352">
        <f>'Grille tarifaire'!T111</f>
        <v>3.28</v>
      </c>
      <c r="AQ16" s="352">
        <f>'Grille tarifaire'!T112</f>
        <v>2.35</v>
      </c>
      <c r="AR16" s="352">
        <f>'Grille tarifaire'!T113</f>
        <v>0.79</v>
      </c>
      <c r="AS16" s="352">
        <f>'Grille tarifaire'!T114</f>
        <v>0.5</v>
      </c>
      <c r="AU16" s="333">
        <f>'Grille tarifaire'!T115</f>
        <v>11.45</v>
      </c>
    </row>
    <row r="17" spans="1:44" ht="27.75" customHeight="1" thickBot="1" x14ac:dyDescent="0.3">
      <c r="A17" s="485"/>
      <c r="C17" s="333" t="s">
        <v>271</v>
      </c>
      <c r="D17" s="352">
        <f>'Grille tarifaire'!T79</f>
        <v>5.76</v>
      </c>
      <c r="E17" s="352">
        <f>'Grille tarifaire'!T80</f>
        <v>4.42</v>
      </c>
      <c r="F17" s="352">
        <f>'Grille tarifaire'!T81</f>
        <v>2.37</v>
      </c>
      <c r="G17" s="352">
        <f>'Grille tarifaire'!T82</f>
        <v>1.64</v>
      </c>
      <c r="I17" s="333" t="s">
        <v>271</v>
      </c>
      <c r="J17" s="352">
        <f>'Grille tarifaire'!T87</f>
        <v>4.82</v>
      </c>
      <c r="K17" s="352">
        <f>'Grille tarifaire'!T88</f>
        <v>3.83</v>
      </c>
      <c r="L17" s="352">
        <f>'Grille tarifaire'!T89</f>
        <v>2.19</v>
      </c>
      <c r="M17" s="352">
        <f>'Grille tarifaire'!T90</f>
        <v>1.35</v>
      </c>
      <c r="V17" t="str">
        <f>P17&amp;P29</f>
        <v/>
      </c>
      <c r="W17" t="str">
        <f>Q17&amp;Q29</f>
        <v/>
      </c>
      <c r="AA17" t="str">
        <f>R17&amp;R29</f>
        <v/>
      </c>
      <c r="AB17" t="str">
        <f>S17&amp;S29</f>
        <v/>
      </c>
      <c r="AL17" t="str">
        <f>AF17&amp;AF29</f>
        <v/>
      </c>
      <c r="AM17" t="str">
        <f>AG17&amp;AG29</f>
        <v/>
      </c>
      <c r="AQ17" t="str">
        <f>AH17&amp;AH29</f>
        <v/>
      </c>
      <c r="AR17" t="str">
        <f>AI17&amp;AI29</f>
        <v/>
      </c>
    </row>
    <row r="19" spans="1:44" x14ac:dyDescent="0.25">
      <c r="D19" s="357"/>
      <c r="E19" s="357"/>
      <c r="F19" s="357"/>
      <c r="G19" s="357"/>
      <c r="H19" s="357"/>
      <c r="I19" s="357"/>
      <c r="J19" s="357"/>
      <c r="K19" s="357"/>
    </row>
    <row r="20" spans="1:44" x14ac:dyDescent="0.25">
      <c r="D20" s="357"/>
      <c r="E20" s="357"/>
      <c r="F20" s="357"/>
      <c r="G20" s="357"/>
      <c r="H20" s="357"/>
      <c r="I20" s="357"/>
      <c r="J20" s="357"/>
      <c r="K20" s="357"/>
    </row>
    <row r="22" spans="1:44" x14ac:dyDescent="0.25">
      <c r="D22" s="357"/>
      <c r="E22" s="357"/>
      <c r="F22" s="357"/>
      <c r="G22" s="357"/>
      <c r="H22" s="357"/>
      <c r="I22" s="357"/>
      <c r="J22" s="357"/>
      <c r="K22" s="357"/>
    </row>
    <row r="23" spans="1:44" x14ac:dyDescent="0.25">
      <c r="D23" s="357"/>
      <c r="E23" s="357"/>
      <c r="F23" s="357"/>
      <c r="G23" s="357"/>
      <c r="H23" s="357"/>
      <c r="I23" s="357"/>
      <c r="J23" s="357"/>
      <c r="K23" s="357"/>
    </row>
    <row r="25" spans="1:44" x14ac:dyDescent="0.25">
      <c r="D25" s="357"/>
      <c r="E25" s="357"/>
      <c r="F25" s="357"/>
      <c r="G25" s="357"/>
      <c r="H25" s="357"/>
      <c r="I25" s="357"/>
      <c r="J25" s="357"/>
      <c r="K25" s="357"/>
    </row>
    <row r="26" spans="1:44" x14ac:dyDescent="0.25">
      <c r="D26" s="357"/>
      <c r="E26" s="357"/>
      <c r="F26" s="357"/>
      <c r="G26" s="357"/>
      <c r="H26" s="357"/>
      <c r="I26" s="357"/>
      <c r="J26" s="357"/>
      <c r="K26" s="357"/>
    </row>
    <row r="28" spans="1:44" x14ac:dyDescent="0.25">
      <c r="D28" s="357"/>
      <c r="E28" s="357"/>
      <c r="F28" s="357"/>
      <c r="G28" s="357"/>
      <c r="H28" s="357"/>
      <c r="I28" s="357"/>
      <c r="J28" s="357"/>
      <c r="K28" s="357"/>
    </row>
    <row r="29" spans="1:44" x14ac:dyDescent="0.25">
      <c r="D29" s="357"/>
      <c r="E29" s="357"/>
      <c r="F29" s="357"/>
      <c r="G29" s="357"/>
      <c r="H29" s="357"/>
      <c r="I29" s="357"/>
      <c r="J29" s="357"/>
      <c r="K29" s="357"/>
    </row>
    <row r="38" ht="28.5" customHeight="1" x14ac:dyDescent="0.25"/>
  </sheetData>
  <mergeCells count="11">
    <mergeCell ref="C2:J2"/>
    <mergeCell ref="C4:G4"/>
    <mergeCell ref="I4:M4"/>
    <mergeCell ref="O4:S4"/>
    <mergeCell ref="U4:AC4"/>
    <mergeCell ref="A10:A11"/>
    <mergeCell ref="A13:A14"/>
    <mergeCell ref="A16:A17"/>
    <mergeCell ref="AE4:AI4"/>
    <mergeCell ref="AK4:AS4"/>
    <mergeCell ref="A7:A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44D8-F2DC-4426-B3D6-5CABDC6CABDC}">
  <sheetPr>
    <tabColor theme="4"/>
  </sheetPr>
  <dimension ref="A1:AQ34"/>
  <sheetViews>
    <sheetView workbookViewId="0">
      <pane xSplit="1" ySplit="6" topLeftCell="B7" activePane="bottomRight" state="frozen"/>
      <selection pane="topRight" activeCell="B1" sqref="B1"/>
      <selection pane="bottomLeft" activeCell="A7" sqref="A7"/>
      <selection pane="bottomRight" activeCell="F19" sqref="F19"/>
    </sheetView>
  </sheetViews>
  <sheetFormatPr baseColWidth="10" defaultColWidth="9.28515625" defaultRowHeight="15" x14ac:dyDescent="0.25"/>
  <cols>
    <col min="1" max="1" width="17.7109375" customWidth="1"/>
    <col min="2" max="2" width="4.28515625" customWidth="1"/>
    <col min="3" max="4" width="35.7109375" customWidth="1"/>
    <col min="5" max="5" width="4.42578125" customWidth="1"/>
    <col min="6" max="6" width="31.5703125" customWidth="1"/>
    <col min="7" max="10" width="15.7109375" customWidth="1"/>
    <col min="11" max="11" width="4.42578125" customWidth="1"/>
    <col min="12" max="12" width="31.5703125" customWidth="1"/>
    <col min="13" max="14" width="17.7109375" customWidth="1"/>
    <col min="15" max="15" width="4.42578125" customWidth="1"/>
    <col min="16" max="16" width="31.5703125" customWidth="1"/>
    <col min="17" max="20" width="15.7109375" customWidth="1"/>
    <col min="21" max="21" width="4.28515625" customWidth="1"/>
    <col min="22" max="23" width="35.7109375" customWidth="1"/>
    <col min="24" max="24" width="4.42578125" customWidth="1"/>
    <col min="25" max="25" width="31.5703125" customWidth="1"/>
    <col min="26" max="33" width="15.7109375" customWidth="1"/>
    <col min="34" max="34" width="4.42578125" customWidth="1"/>
    <col min="35" max="35" width="31.5703125" customWidth="1"/>
    <col min="36" max="43" width="15.7109375" customWidth="1"/>
  </cols>
  <sheetData>
    <row r="1" spans="1:43" x14ac:dyDescent="0.25">
      <c r="C1" s="338" t="s">
        <v>0</v>
      </c>
      <c r="F1" s="338"/>
      <c r="L1" s="338"/>
      <c r="P1" s="338"/>
      <c r="V1" s="338"/>
      <c r="Y1" s="338"/>
      <c r="AI1" s="338"/>
    </row>
    <row r="2" spans="1:43" ht="48" customHeight="1" x14ac:dyDescent="0.25">
      <c r="C2" s="486" t="s">
        <v>309</v>
      </c>
      <c r="D2" s="486"/>
      <c r="E2" s="486"/>
      <c r="F2" s="486"/>
      <c r="G2" s="486"/>
      <c r="H2" s="358"/>
      <c r="I2" s="358"/>
      <c r="J2" s="358"/>
      <c r="K2" s="358"/>
      <c r="L2" s="358"/>
      <c r="M2" s="358"/>
      <c r="N2" s="358"/>
      <c r="O2" s="358"/>
      <c r="R2" s="358"/>
      <c r="S2" s="358"/>
      <c r="T2" s="358"/>
      <c r="X2" s="358"/>
      <c r="AA2" s="358"/>
      <c r="AB2" s="358"/>
      <c r="AC2" s="358"/>
      <c r="AD2" s="358"/>
      <c r="AE2" s="358"/>
      <c r="AF2" s="358"/>
      <c r="AG2" s="358"/>
      <c r="AH2" s="358"/>
      <c r="AK2" s="358"/>
      <c r="AL2" s="358"/>
      <c r="AM2" s="358"/>
      <c r="AN2" s="358"/>
      <c r="AO2" s="358"/>
      <c r="AP2" s="358"/>
      <c r="AQ2" s="358"/>
    </row>
    <row r="4" spans="1:43" ht="69.95" customHeight="1" x14ac:dyDescent="0.25">
      <c r="C4" s="360" t="s">
        <v>310</v>
      </c>
      <c r="D4" s="361" t="s">
        <v>311</v>
      </c>
      <c r="F4" s="362" t="s">
        <v>314</v>
      </c>
      <c r="G4" s="487" t="s">
        <v>315</v>
      </c>
      <c r="H4" s="487"/>
      <c r="I4" s="487"/>
      <c r="J4" s="488"/>
      <c r="L4" s="362" t="s">
        <v>321</v>
      </c>
      <c r="M4" s="489" t="s">
        <v>322</v>
      </c>
      <c r="N4" s="490"/>
      <c r="P4" s="362" t="s">
        <v>325</v>
      </c>
      <c r="Q4" s="487" t="s">
        <v>326</v>
      </c>
      <c r="R4" s="487"/>
      <c r="S4" s="487"/>
      <c r="T4" s="488"/>
      <c r="V4" s="360" t="s">
        <v>327</v>
      </c>
      <c r="W4" s="361" t="s">
        <v>328</v>
      </c>
      <c r="Y4" s="362" t="s">
        <v>329</v>
      </c>
      <c r="Z4" s="487" t="s">
        <v>330</v>
      </c>
      <c r="AA4" s="487"/>
      <c r="AB4" s="487"/>
      <c r="AC4" s="487"/>
      <c r="AD4" s="487"/>
      <c r="AE4" s="487"/>
      <c r="AF4" s="487"/>
      <c r="AG4" s="488"/>
      <c r="AI4" s="362" t="s">
        <v>331</v>
      </c>
      <c r="AJ4" s="487" t="s">
        <v>332</v>
      </c>
      <c r="AK4" s="487"/>
      <c r="AL4" s="487"/>
      <c r="AM4" s="487"/>
      <c r="AN4" s="487"/>
      <c r="AO4" s="487"/>
      <c r="AP4" s="487"/>
      <c r="AQ4" s="488"/>
    </row>
    <row r="5" spans="1:43" ht="15.75" thickBot="1" x14ac:dyDescent="0.3"/>
    <row r="6" spans="1:43" ht="54.75" thickBot="1" x14ac:dyDescent="0.3">
      <c r="B6" s="340"/>
      <c r="C6" s="348" t="s">
        <v>312</v>
      </c>
      <c r="D6" s="359" t="s">
        <v>313</v>
      </c>
      <c r="F6" s="348" t="s">
        <v>316</v>
      </c>
      <c r="G6" s="349" t="s">
        <v>317</v>
      </c>
      <c r="H6" s="356" t="s">
        <v>318</v>
      </c>
      <c r="I6" s="356" t="s">
        <v>319</v>
      </c>
      <c r="J6" s="356" t="s">
        <v>320</v>
      </c>
      <c r="L6" s="348" t="s">
        <v>316</v>
      </c>
      <c r="M6" s="349" t="s">
        <v>323</v>
      </c>
      <c r="N6" s="356" t="s">
        <v>324</v>
      </c>
      <c r="P6" s="348" t="s">
        <v>316</v>
      </c>
      <c r="Q6" s="349" t="s">
        <v>317</v>
      </c>
      <c r="R6" s="356" t="s">
        <v>318</v>
      </c>
      <c r="S6" s="356" t="s">
        <v>319</v>
      </c>
      <c r="T6" s="356" t="s">
        <v>320</v>
      </c>
      <c r="U6" s="340"/>
      <c r="V6" s="348" t="s">
        <v>312</v>
      </c>
      <c r="W6" s="359" t="s">
        <v>313</v>
      </c>
      <c r="Y6" s="348" t="s">
        <v>316</v>
      </c>
      <c r="Z6" s="349" t="s">
        <v>295</v>
      </c>
      <c r="AA6" s="356" t="s">
        <v>297</v>
      </c>
      <c r="AB6" s="356" t="s">
        <v>296</v>
      </c>
      <c r="AC6" s="356" t="s">
        <v>298</v>
      </c>
      <c r="AD6" s="356" t="s">
        <v>299</v>
      </c>
      <c r="AE6" s="356" t="s">
        <v>300</v>
      </c>
      <c r="AF6" s="356" t="s">
        <v>301</v>
      </c>
      <c r="AG6" s="356" t="s">
        <v>302</v>
      </c>
      <c r="AI6" s="348" t="s">
        <v>316</v>
      </c>
      <c r="AJ6" s="349" t="s">
        <v>295</v>
      </c>
      <c r="AK6" s="356" t="s">
        <v>297</v>
      </c>
      <c r="AL6" s="356" t="s">
        <v>296</v>
      </c>
      <c r="AM6" s="356" t="s">
        <v>298</v>
      </c>
      <c r="AN6" s="356" t="s">
        <v>299</v>
      </c>
      <c r="AO6" s="356" t="s">
        <v>300</v>
      </c>
      <c r="AP6" s="356" t="s">
        <v>301</v>
      </c>
      <c r="AQ6" s="356" t="s">
        <v>302</v>
      </c>
    </row>
    <row r="7" spans="1:43" ht="27.75" thickBot="1" x14ac:dyDescent="0.3">
      <c r="A7" s="347" t="s">
        <v>250</v>
      </c>
      <c r="C7" s="351">
        <f>'Grille tarifaire'!Q116</f>
        <v>8.52</v>
      </c>
      <c r="D7" s="351">
        <f>'Grille tarifaire'!Q117</f>
        <v>3.71</v>
      </c>
      <c r="F7" s="351">
        <f>'Grille tarifaire'!Q118</f>
        <v>8.3999999999999986</v>
      </c>
      <c r="G7" s="351">
        <f>'Grille tarifaire'!Q119</f>
        <v>6.27</v>
      </c>
      <c r="H7" s="351">
        <f>'Grille tarifaire'!Q120</f>
        <v>4.29</v>
      </c>
      <c r="I7" s="351">
        <f>'Grille tarifaire'!Q121</f>
        <v>1.34</v>
      </c>
      <c r="J7" s="351">
        <f>'Grille tarifaire'!Q122</f>
        <v>0.83</v>
      </c>
      <c r="L7" s="351">
        <f>'Grille tarifaire'!Q123</f>
        <v>10.32</v>
      </c>
      <c r="M7" s="351">
        <f>'Grille tarifaire'!Q124</f>
        <v>3.79</v>
      </c>
      <c r="N7" s="351">
        <f>'Grille tarifaire'!Q125</f>
        <v>2.68</v>
      </c>
      <c r="P7" s="351">
        <f>'Grille tarifaire'!Q126</f>
        <v>9.9599999999999991</v>
      </c>
      <c r="Q7" s="351">
        <f>'Grille tarifaire'!Q127</f>
        <v>5.75</v>
      </c>
      <c r="R7" s="351">
        <f>'Grille tarifaire'!Q128</f>
        <v>3.99</v>
      </c>
      <c r="S7" s="351">
        <f>'Grille tarifaire'!Q129</f>
        <v>1.31</v>
      </c>
      <c r="T7" s="351">
        <f>'Grille tarifaire'!Q130</f>
        <v>0.82</v>
      </c>
      <c r="V7" s="351">
        <f>'Grille tarifaire'!Q131</f>
        <v>76.44</v>
      </c>
      <c r="W7" s="351">
        <f>'Grille tarifaire'!Q132</f>
        <v>1.04</v>
      </c>
      <c r="Y7" s="351">
        <f>'Grille tarifaire'!Q133</f>
        <v>8.3999999999999986</v>
      </c>
      <c r="Z7" s="351">
        <f>'Grille tarifaire'!Q134</f>
        <v>6.81</v>
      </c>
      <c r="AA7" s="351">
        <f>'Grille tarifaire'!Q135</f>
        <v>4.16</v>
      </c>
      <c r="AB7" s="351">
        <f>'Grille tarifaire'!Q136</f>
        <v>2.15</v>
      </c>
      <c r="AC7" s="351">
        <f>'Grille tarifaire'!Q137</f>
        <v>0.81</v>
      </c>
      <c r="AD7" s="351">
        <f>'Grille tarifaire'!Q138</f>
        <v>1.55</v>
      </c>
      <c r="AE7" s="351">
        <f>'Grille tarifaire'!Q139</f>
        <v>1.21</v>
      </c>
      <c r="AF7" s="351">
        <f>'Grille tarifaire'!Q140</f>
        <v>0.73</v>
      </c>
      <c r="AG7" s="351">
        <f>'Grille tarifaire'!Q141</f>
        <v>0.35</v>
      </c>
      <c r="AI7" s="351">
        <f>'Grille tarifaire'!Q142</f>
        <v>9.9599999999999991</v>
      </c>
      <c r="AJ7" s="351">
        <f>'Grille tarifaire'!Q143</f>
        <v>6.21</v>
      </c>
      <c r="AK7" s="351">
        <f>'Grille tarifaire'!Q144</f>
        <v>3.98</v>
      </c>
      <c r="AL7" s="351">
        <f>'Grille tarifaire'!Q145</f>
        <v>2.09</v>
      </c>
      <c r="AM7" s="351">
        <f>'Grille tarifaire'!Q146</f>
        <v>0.81</v>
      </c>
      <c r="AN7" s="351">
        <f>'Grille tarifaire'!Q147</f>
        <v>1.55</v>
      </c>
      <c r="AO7" s="351">
        <f>'Grille tarifaire'!Q148</f>
        <v>1.21</v>
      </c>
      <c r="AP7" s="351">
        <f>'Grille tarifaire'!Q149</f>
        <v>0.73</v>
      </c>
      <c r="AQ7" s="351">
        <f>'Grille tarifaire'!Q150</f>
        <v>0.35</v>
      </c>
    </row>
    <row r="8" spans="1:43" ht="15.75" thickBot="1" x14ac:dyDescent="0.3"/>
    <row r="9" spans="1:43" ht="27.75" customHeight="1" thickBot="1" x14ac:dyDescent="0.3">
      <c r="A9" s="347" t="s">
        <v>251</v>
      </c>
      <c r="C9" s="333">
        <f>'Grille tarifaire'!R116</f>
        <v>9</v>
      </c>
      <c r="D9" s="352">
        <f>'Grille tarifaire'!R117</f>
        <v>3.94</v>
      </c>
      <c r="F9" s="333">
        <f>'Grille tarifaire'!R118</f>
        <v>8.52</v>
      </c>
      <c r="G9" s="352">
        <f>'Grille tarifaire'!R119</f>
        <v>6.32</v>
      </c>
      <c r="H9" s="352">
        <f>'Grille tarifaire'!R120</f>
        <v>4.33</v>
      </c>
      <c r="I9" s="352">
        <f>'Grille tarifaire'!R121</f>
        <v>1.35</v>
      </c>
      <c r="J9" s="352">
        <f>'Grille tarifaire'!R122</f>
        <v>0.84</v>
      </c>
      <c r="L9" s="333">
        <f>'Grille tarifaire'!R123</f>
        <v>11.040000000000001</v>
      </c>
      <c r="M9" s="352">
        <f>'Grille tarifaire'!R124</f>
        <v>4.0199999999999996</v>
      </c>
      <c r="N9" s="352">
        <f>'Grille tarifaire'!R125</f>
        <v>2.84</v>
      </c>
      <c r="P9" s="333">
        <f>'Grille tarifaire'!R126</f>
        <v>9.9599999999999991</v>
      </c>
      <c r="Q9" s="352">
        <f>'Grille tarifaire'!R127</f>
        <v>5.8</v>
      </c>
      <c r="R9" s="352">
        <f>'Grille tarifaire'!R128</f>
        <v>4.0199999999999996</v>
      </c>
      <c r="S9" s="352">
        <f>'Grille tarifaire'!R129</f>
        <v>1.32</v>
      </c>
      <c r="T9" s="352">
        <f>'Grille tarifaire'!R130</f>
        <v>0.83</v>
      </c>
      <c r="V9" s="333">
        <f>'Grille tarifaire'!R131</f>
        <v>77.039999999999992</v>
      </c>
      <c r="W9" s="352">
        <f>'Grille tarifaire'!R132</f>
        <v>1.04</v>
      </c>
      <c r="Y9" s="333">
        <f>'Grille tarifaire'!R133</f>
        <v>8.52</v>
      </c>
      <c r="Z9" s="352">
        <f>'Grille tarifaire'!R134</f>
        <v>6.86</v>
      </c>
      <c r="AA9" s="352">
        <f>'Grille tarifaire'!R135</f>
        <v>4.1900000000000004</v>
      </c>
      <c r="AB9" s="352">
        <f>'Grille tarifaire'!R136</f>
        <v>2.17</v>
      </c>
      <c r="AC9" s="352">
        <f>'Grille tarifaire'!R137</f>
        <v>0.82</v>
      </c>
      <c r="AD9" s="352">
        <f>'Grille tarifaire'!R138</f>
        <v>1.56</v>
      </c>
      <c r="AE9" s="352">
        <f>'Grille tarifaire'!R139</f>
        <v>1.22</v>
      </c>
      <c r="AF9" s="352">
        <f>'Grille tarifaire'!R140</f>
        <v>0.74</v>
      </c>
      <c r="AG9" s="352">
        <f>'Grille tarifaire'!R141</f>
        <v>0.36</v>
      </c>
      <c r="AI9" s="333">
        <f>'Grille tarifaire'!R142</f>
        <v>10.08</v>
      </c>
      <c r="AJ9" s="352">
        <f>'Grille tarifaire'!R143</f>
        <v>6.26</v>
      </c>
      <c r="AK9" s="352">
        <f>'Grille tarifaire'!R144</f>
        <v>4.01</v>
      </c>
      <c r="AL9" s="352">
        <f>'Grille tarifaire'!R145</f>
        <v>2.11</v>
      </c>
      <c r="AM9" s="352">
        <f>'Grille tarifaire'!R146</f>
        <v>0.82</v>
      </c>
      <c r="AN9" s="352">
        <f>'Grille tarifaire'!R147</f>
        <v>1.56</v>
      </c>
      <c r="AO9" s="352">
        <f>'Grille tarifaire'!R148</f>
        <v>1.22</v>
      </c>
      <c r="AP9" s="352">
        <f>'Grille tarifaire'!R149</f>
        <v>0.74</v>
      </c>
      <c r="AQ9" s="352">
        <f>'Grille tarifaire'!R150</f>
        <v>0.36</v>
      </c>
    </row>
    <row r="10" spans="1:43" ht="15.75" thickBot="1" x14ac:dyDescent="0.3"/>
    <row r="11" spans="1:43" ht="27.75" customHeight="1" thickBot="1" x14ac:dyDescent="0.3">
      <c r="A11" s="347" t="s">
        <v>252</v>
      </c>
      <c r="C11" s="333">
        <f>'Grille tarifaire'!S116</f>
        <v>9.9599999999999991</v>
      </c>
      <c r="D11" s="352">
        <f>'Grille tarifaire'!S117</f>
        <v>4.37</v>
      </c>
      <c r="F11" s="333">
        <f>'Grille tarifaire'!S118</f>
        <v>9</v>
      </c>
      <c r="G11" s="352">
        <f>'Grille tarifaire'!S119</f>
        <v>6.67</v>
      </c>
      <c r="H11" s="352">
        <f>'Grille tarifaire'!S120</f>
        <v>4.5599999999999996</v>
      </c>
      <c r="I11" s="352">
        <f>'Grille tarifaire'!S121</f>
        <v>1.43</v>
      </c>
      <c r="J11" s="352">
        <f>'Grille tarifaire'!S122</f>
        <v>0.88</v>
      </c>
      <c r="L11" s="333">
        <f>'Grille tarifaire'!S123</f>
        <v>12.24</v>
      </c>
      <c r="M11" s="352">
        <f>'Grille tarifaire'!S124</f>
        <v>4.47</v>
      </c>
      <c r="N11" s="352">
        <f>'Grille tarifaire'!S125</f>
        <v>3.16</v>
      </c>
      <c r="P11" s="333">
        <f>'Grille tarifaire'!S126</f>
        <v>10.56</v>
      </c>
      <c r="Q11" s="352">
        <f>'Grille tarifaire'!S127</f>
        <v>6.12</v>
      </c>
      <c r="R11" s="352">
        <f>'Grille tarifaire'!S128</f>
        <v>4.24</v>
      </c>
      <c r="S11" s="352">
        <f>'Grille tarifaire'!S129</f>
        <v>1.39</v>
      </c>
      <c r="T11" s="352">
        <f>'Grille tarifaire'!S130</f>
        <v>0.87</v>
      </c>
      <c r="V11" s="333">
        <f>'Grille tarifaire'!S131</f>
        <v>81.239999999999995</v>
      </c>
      <c r="W11" s="352">
        <f>'Grille tarifaire'!S132</f>
        <v>1.1000000000000001</v>
      </c>
      <c r="Y11" s="333">
        <f>'Grille tarifaire'!S133</f>
        <v>9</v>
      </c>
      <c r="Z11" s="352">
        <f>'Grille tarifaire'!S134</f>
        <v>7.23</v>
      </c>
      <c r="AA11" s="352">
        <f>'Grille tarifaire'!S135</f>
        <v>4.42</v>
      </c>
      <c r="AB11" s="352">
        <f>'Grille tarifaire'!S136</f>
        <v>2.29</v>
      </c>
      <c r="AC11" s="352">
        <f>'Grille tarifaire'!S137</f>
        <v>0.86</v>
      </c>
      <c r="AD11" s="352">
        <f>'Grille tarifaire'!S138</f>
        <v>1.64</v>
      </c>
      <c r="AE11" s="352">
        <f>'Grille tarifaire'!S139</f>
        <v>1.29</v>
      </c>
      <c r="AF11" s="352">
        <f>'Grille tarifaire'!S140</f>
        <v>0.77</v>
      </c>
      <c r="AG11" s="352">
        <f>'Grille tarifaire'!S141</f>
        <v>0.37</v>
      </c>
      <c r="AI11" s="333">
        <f>'Grille tarifaire'!S142</f>
        <v>10.68</v>
      </c>
      <c r="AJ11" s="352">
        <f>'Grille tarifaire'!S143</f>
        <v>6.6</v>
      </c>
      <c r="AK11" s="352">
        <f>'Grille tarifaire'!S144</f>
        <v>4.2300000000000004</v>
      </c>
      <c r="AL11" s="352">
        <f>'Grille tarifaire'!S145</f>
        <v>2.2200000000000002</v>
      </c>
      <c r="AM11" s="352">
        <f>'Grille tarifaire'!S146</f>
        <v>0.86</v>
      </c>
      <c r="AN11" s="352">
        <f>'Grille tarifaire'!S147</f>
        <v>1.64</v>
      </c>
      <c r="AO11" s="352">
        <f>'Grille tarifaire'!S148</f>
        <v>1.29</v>
      </c>
      <c r="AP11" s="352">
        <f>'Grille tarifaire'!S149</f>
        <v>0.77</v>
      </c>
      <c r="AQ11" s="352">
        <f>'Grille tarifaire'!S150</f>
        <v>0.37</v>
      </c>
    </row>
    <row r="12" spans="1:43" ht="15.75" thickBot="1" x14ac:dyDescent="0.3"/>
    <row r="13" spans="1:43" ht="27.75" customHeight="1" thickBot="1" x14ac:dyDescent="0.3">
      <c r="A13" s="347" t="s">
        <v>253</v>
      </c>
      <c r="C13" s="333">
        <f>'Grille tarifaire'!T116</f>
        <v>10.199999999999999</v>
      </c>
      <c r="D13" s="352">
        <f>'Grille tarifaire'!T117</f>
        <v>4.46</v>
      </c>
      <c r="F13" s="333">
        <f>'Grille tarifaire'!T118</f>
        <v>9.120000000000001</v>
      </c>
      <c r="G13" s="352">
        <f>'Grille tarifaire'!T119</f>
        <v>6.79</v>
      </c>
      <c r="H13" s="352">
        <f>'Grille tarifaire'!T120</f>
        <v>4.6399999999999997</v>
      </c>
      <c r="I13" s="352">
        <f>'Grille tarifaire'!T121</f>
        <v>1.45</v>
      </c>
      <c r="J13" s="352">
        <f>'Grille tarifaire'!T122</f>
        <v>0.9</v>
      </c>
      <c r="L13" s="333">
        <f>'Grille tarifaire'!T123</f>
        <v>12.48</v>
      </c>
      <c r="M13" s="352">
        <f>'Grille tarifaire'!T124</f>
        <v>4.5599999999999996</v>
      </c>
      <c r="N13" s="352">
        <f>'Grille tarifaire'!T125</f>
        <v>3.23</v>
      </c>
      <c r="P13" s="333">
        <f>'Grille tarifaire'!T126</f>
        <v>10.8</v>
      </c>
      <c r="Q13" s="352">
        <f>'Grille tarifaire'!T127</f>
        <v>6.23</v>
      </c>
      <c r="R13" s="352">
        <f>'Grille tarifaire'!T128</f>
        <v>4.32</v>
      </c>
      <c r="S13" s="352">
        <f>'Grille tarifaire'!T129</f>
        <v>1.42</v>
      </c>
      <c r="T13" s="352">
        <f>'Grille tarifaire'!T130</f>
        <v>0.89</v>
      </c>
      <c r="V13" s="333">
        <f>'Grille tarifaire'!T131</f>
        <v>82.800000000000011</v>
      </c>
      <c r="W13" s="352">
        <f>'Grille tarifaire'!T132</f>
        <v>1.1200000000000001</v>
      </c>
      <c r="Y13" s="333">
        <f>'Grille tarifaire'!T133</f>
        <v>9.120000000000001</v>
      </c>
      <c r="Z13" s="352">
        <f>'Grille tarifaire'!T134</f>
        <v>7.37</v>
      </c>
      <c r="AA13" s="352">
        <f>'Grille tarifaire'!T135</f>
        <v>4.51</v>
      </c>
      <c r="AB13" s="352">
        <f>'Grille tarifaire'!T136</f>
        <v>2.33</v>
      </c>
      <c r="AC13" s="352">
        <f>'Grille tarifaire'!T137</f>
        <v>0.88</v>
      </c>
      <c r="AD13" s="352">
        <f>'Grille tarifaire'!T138</f>
        <v>1.68</v>
      </c>
      <c r="AE13" s="352">
        <f>'Grille tarifaire'!T139</f>
        <v>1.3</v>
      </c>
      <c r="AF13" s="352">
        <f>'Grille tarifaire'!T140</f>
        <v>0.79</v>
      </c>
      <c r="AG13" s="352">
        <f>'Grille tarifaire'!T141</f>
        <v>0.38</v>
      </c>
      <c r="AI13" s="333">
        <f>'Grille tarifaire'!T142</f>
        <v>10.8</v>
      </c>
      <c r="AJ13" s="352">
        <f>'Grille tarifaire'!T143</f>
        <v>6.71</v>
      </c>
      <c r="AK13" s="352">
        <f>'Grille tarifaire'!T144</f>
        <v>4.3</v>
      </c>
      <c r="AL13" s="352">
        <f>'Grille tarifaire'!T145</f>
        <v>2.2599999999999998</v>
      </c>
      <c r="AM13" s="352">
        <f>'Grille tarifaire'!T146</f>
        <v>0.88</v>
      </c>
      <c r="AN13" s="352">
        <f>'Grille tarifaire'!T147</f>
        <v>1.68</v>
      </c>
      <c r="AO13" s="352">
        <f>'Grille tarifaire'!T148</f>
        <v>1.3</v>
      </c>
      <c r="AP13" s="352">
        <f>'Grille tarifaire'!T149</f>
        <v>0.79</v>
      </c>
      <c r="AQ13" s="352">
        <f>'Grille tarifaire'!T150</f>
        <v>0.38</v>
      </c>
    </row>
    <row r="15" spans="1:43" x14ac:dyDescent="0.25">
      <c r="D15" s="357"/>
      <c r="E15" s="357"/>
      <c r="F15" s="357"/>
      <c r="G15" s="357"/>
      <c r="H15" s="357"/>
      <c r="L15" s="357"/>
      <c r="M15" s="357"/>
      <c r="N15" s="357"/>
      <c r="P15" s="357"/>
      <c r="Q15" s="357"/>
      <c r="R15" s="357"/>
      <c r="W15" s="357"/>
      <c r="Y15" s="357"/>
      <c r="Z15" s="357"/>
      <c r="AA15" s="357"/>
      <c r="AB15" s="357"/>
      <c r="AC15" s="357"/>
      <c r="AD15" s="357"/>
      <c r="AE15" s="357"/>
      <c r="AI15" s="357"/>
      <c r="AJ15" s="357"/>
      <c r="AK15" s="357"/>
      <c r="AL15" s="357"/>
      <c r="AM15" s="357"/>
      <c r="AN15" s="357"/>
      <c r="AO15" s="357"/>
    </row>
    <row r="16" spans="1:43" x14ac:dyDescent="0.25">
      <c r="D16" s="357"/>
      <c r="E16" s="357"/>
      <c r="F16" s="357"/>
      <c r="G16" s="357"/>
      <c r="H16" s="357"/>
      <c r="L16" s="357"/>
      <c r="M16" s="357"/>
      <c r="N16" s="357"/>
      <c r="P16" s="357"/>
      <c r="Q16" s="357"/>
      <c r="R16" s="357"/>
      <c r="W16" s="357"/>
      <c r="Y16" s="357"/>
      <c r="Z16" s="357"/>
      <c r="AA16" s="357"/>
      <c r="AB16" s="357"/>
      <c r="AC16" s="357"/>
      <c r="AD16" s="357"/>
      <c r="AE16" s="357"/>
      <c r="AI16" s="357"/>
      <c r="AJ16" s="357"/>
      <c r="AK16" s="357"/>
      <c r="AL16" s="357"/>
      <c r="AM16" s="357"/>
      <c r="AN16" s="357"/>
      <c r="AO16" s="357"/>
    </row>
    <row r="18" spans="4:41" x14ac:dyDescent="0.25">
      <c r="D18" s="357"/>
      <c r="E18" s="357"/>
      <c r="F18" s="357"/>
      <c r="G18" s="357"/>
      <c r="H18" s="357"/>
      <c r="L18" s="357"/>
      <c r="M18" s="357"/>
      <c r="N18" s="357"/>
      <c r="P18" s="357"/>
      <c r="Q18" s="357"/>
      <c r="R18" s="357"/>
      <c r="W18" s="357"/>
      <c r="Y18" s="357"/>
      <c r="Z18" s="357"/>
      <c r="AA18" s="357"/>
      <c r="AB18" s="357"/>
      <c r="AC18" s="357"/>
      <c r="AD18" s="357"/>
      <c r="AE18" s="357"/>
      <c r="AI18" s="357"/>
      <c r="AJ18" s="357"/>
      <c r="AK18" s="357"/>
      <c r="AL18" s="357"/>
      <c r="AM18" s="357"/>
      <c r="AN18" s="357"/>
      <c r="AO18" s="357"/>
    </row>
    <row r="19" spans="4:41" x14ac:dyDescent="0.25">
      <c r="D19" s="357"/>
      <c r="E19" s="357"/>
      <c r="F19" s="357"/>
      <c r="G19" s="357"/>
      <c r="H19" s="357"/>
      <c r="L19" s="357"/>
      <c r="M19" s="357"/>
      <c r="N19" s="357"/>
      <c r="P19" s="357"/>
      <c r="Q19" s="357"/>
      <c r="R19" s="357"/>
      <c r="W19" s="357"/>
      <c r="Y19" s="357"/>
      <c r="Z19" s="357"/>
      <c r="AA19" s="357"/>
      <c r="AB19" s="357"/>
      <c r="AC19" s="357"/>
      <c r="AD19" s="357"/>
      <c r="AE19" s="357"/>
      <c r="AI19" s="357"/>
      <c r="AJ19" s="357"/>
      <c r="AK19" s="357"/>
      <c r="AL19" s="357"/>
      <c r="AM19" s="357"/>
      <c r="AN19" s="357"/>
      <c r="AO19" s="357"/>
    </row>
    <row r="21" spans="4:41" x14ac:dyDescent="0.25">
      <c r="D21" s="357"/>
      <c r="E21" s="357"/>
      <c r="F21" s="357"/>
      <c r="G21" s="357"/>
      <c r="H21" s="357"/>
      <c r="L21" s="357"/>
      <c r="M21" s="357"/>
      <c r="N21" s="357"/>
      <c r="P21" s="357"/>
      <c r="Q21" s="357"/>
      <c r="R21" s="357"/>
      <c r="W21" s="357"/>
      <c r="Y21" s="357"/>
      <c r="Z21" s="357"/>
      <c r="AA21" s="357"/>
      <c r="AB21" s="357"/>
      <c r="AC21" s="357"/>
      <c r="AD21" s="357"/>
      <c r="AE21" s="357"/>
      <c r="AI21" s="357"/>
      <c r="AJ21" s="357"/>
      <c r="AK21" s="357"/>
      <c r="AL21" s="357"/>
      <c r="AM21" s="357"/>
      <c r="AN21" s="357"/>
      <c r="AO21" s="357"/>
    </row>
    <row r="22" spans="4:41" x14ac:dyDescent="0.25">
      <c r="D22" s="357"/>
      <c r="E22" s="357"/>
      <c r="F22" s="357"/>
      <c r="G22" s="357"/>
      <c r="H22" s="357"/>
      <c r="L22" s="357"/>
      <c r="M22" s="357"/>
      <c r="N22" s="357"/>
      <c r="P22" s="357"/>
      <c r="Q22" s="357"/>
      <c r="R22" s="357"/>
      <c r="W22" s="357"/>
      <c r="Y22" s="357"/>
      <c r="Z22" s="357"/>
      <c r="AA22" s="357"/>
      <c r="AB22" s="357"/>
      <c r="AC22" s="357"/>
      <c r="AD22" s="357"/>
      <c r="AE22" s="357"/>
      <c r="AI22" s="357"/>
      <c r="AJ22" s="357"/>
      <c r="AK22" s="357"/>
      <c r="AL22" s="357"/>
      <c r="AM22" s="357"/>
      <c r="AN22" s="357"/>
      <c r="AO22" s="357"/>
    </row>
    <row r="24" spans="4:41" x14ac:dyDescent="0.25">
      <c r="D24" s="357"/>
      <c r="E24" s="357"/>
      <c r="F24" s="357"/>
      <c r="G24" s="357"/>
      <c r="H24" s="357"/>
      <c r="L24" s="357"/>
      <c r="M24" s="357"/>
      <c r="N24" s="357"/>
      <c r="P24" s="357"/>
      <c r="Q24" s="357"/>
      <c r="R24" s="357"/>
      <c r="W24" s="357"/>
      <c r="Y24" s="357"/>
      <c r="Z24" s="357"/>
      <c r="AA24" s="357"/>
      <c r="AB24" s="357"/>
      <c r="AC24" s="357"/>
      <c r="AD24" s="357"/>
      <c r="AE24" s="357"/>
      <c r="AI24" s="357"/>
      <c r="AJ24" s="357"/>
      <c r="AK24" s="357"/>
      <c r="AL24" s="357"/>
      <c r="AM24" s="357"/>
      <c r="AN24" s="357"/>
      <c r="AO24" s="357"/>
    </row>
    <row r="25" spans="4:41" x14ac:dyDescent="0.25">
      <c r="D25" s="357"/>
      <c r="E25" s="357"/>
      <c r="F25" s="357"/>
      <c r="G25" s="357"/>
      <c r="H25" s="357"/>
      <c r="L25" s="357"/>
      <c r="M25" s="357"/>
      <c r="N25" s="357"/>
      <c r="P25" s="357"/>
      <c r="Q25" s="357"/>
      <c r="R25" s="357"/>
      <c r="W25" s="357"/>
      <c r="Y25" s="357"/>
      <c r="Z25" s="357"/>
      <c r="AA25" s="357"/>
      <c r="AB25" s="357"/>
      <c r="AC25" s="357"/>
      <c r="AD25" s="357"/>
      <c r="AE25" s="357"/>
      <c r="AI25" s="357"/>
      <c r="AJ25" s="357"/>
      <c r="AK25" s="357"/>
      <c r="AL25" s="357"/>
      <c r="AM25" s="357"/>
      <c r="AN25" s="357"/>
      <c r="AO25" s="357"/>
    </row>
    <row r="34" ht="28.5" customHeight="1" x14ac:dyDescent="0.25"/>
  </sheetData>
  <mergeCells count="6">
    <mergeCell ref="C2:G2"/>
    <mergeCell ref="AJ4:AQ4"/>
    <mergeCell ref="G4:J4"/>
    <mergeCell ref="M4:N4"/>
    <mergeCell ref="Q4:T4"/>
    <mergeCell ref="Z4:A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403D-363E-44FB-8613-EB201DFED3DF}">
  <sheetPr>
    <tabColor theme="4"/>
  </sheetPr>
  <dimension ref="A1:N38"/>
  <sheetViews>
    <sheetView workbookViewId="0">
      <selection activeCell="E7" sqref="E7:E8"/>
    </sheetView>
  </sheetViews>
  <sheetFormatPr baseColWidth="10" defaultColWidth="9.28515625" defaultRowHeight="15" x14ac:dyDescent="0.25"/>
  <cols>
    <col min="1" max="1" width="17.7109375" customWidth="1"/>
    <col min="2" max="2" width="4.28515625" customWidth="1"/>
    <col min="3" max="3" width="20.7109375" customWidth="1"/>
    <col min="4" max="5" width="18.7109375" customWidth="1"/>
    <col min="6" max="6" width="4.42578125" customWidth="1"/>
    <col min="7" max="7" width="31.5703125" customWidth="1"/>
    <col min="8" max="8" width="15.7109375" customWidth="1"/>
    <col min="9" max="9" width="4.42578125" customWidth="1"/>
    <col min="10" max="11" width="22.7109375" customWidth="1"/>
    <col min="12" max="14" width="15.7109375" customWidth="1"/>
    <col min="15" max="15" width="4.28515625" customWidth="1"/>
  </cols>
  <sheetData>
    <row r="1" spans="1:14" x14ac:dyDescent="0.25">
      <c r="C1" s="338" t="s">
        <v>0</v>
      </c>
      <c r="D1" s="338"/>
      <c r="G1" s="338"/>
      <c r="J1" s="338"/>
    </row>
    <row r="2" spans="1:14" ht="24" customHeight="1" x14ac:dyDescent="0.25">
      <c r="C2" s="486" t="s">
        <v>333</v>
      </c>
      <c r="D2" s="486"/>
      <c r="E2" s="486"/>
      <c r="F2" s="486"/>
      <c r="G2" s="486"/>
      <c r="H2" s="486"/>
      <c r="I2" s="358"/>
      <c r="L2" s="358"/>
      <c r="M2" s="358"/>
      <c r="N2" s="358"/>
    </row>
    <row r="4" spans="1:14" ht="39.950000000000003" customHeight="1" x14ac:dyDescent="0.25">
      <c r="C4" s="491" t="s">
        <v>334</v>
      </c>
      <c r="D4" s="450"/>
      <c r="E4" s="492"/>
      <c r="G4" s="491" t="s">
        <v>337</v>
      </c>
      <c r="H4" s="490"/>
      <c r="J4" s="491" t="s">
        <v>341</v>
      </c>
      <c r="K4" s="450"/>
      <c r="L4" s="450"/>
      <c r="M4" s="450"/>
      <c r="N4" s="492"/>
    </row>
    <row r="5" spans="1:14" ht="15.75" thickBot="1" x14ac:dyDescent="0.3"/>
    <row r="6" spans="1:14" ht="39.950000000000003" customHeight="1" thickBot="1" x14ac:dyDescent="0.3">
      <c r="B6" s="340"/>
      <c r="C6" s="348" t="s">
        <v>335</v>
      </c>
      <c r="D6" s="493" t="s">
        <v>336</v>
      </c>
      <c r="E6" s="494"/>
      <c r="G6" s="348" t="s">
        <v>338</v>
      </c>
      <c r="H6" s="349"/>
      <c r="J6" s="348" t="s">
        <v>342</v>
      </c>
      <c r="K6" s="349" t="s">
        <v>343</v>
      </c>
      <c r="L6" s="356" t="s">
        <v>344</v>
      </c>
      <c r="M6" s="356" t="s">
        <v>345</v>
      </c>
      <c r="N6" s="356" t="s">
        <v>346</v>
      </c>
    </row>
    <row r="7" spans="1:14" ht="15.95" customHeight="1" thickBot="1" x14ac:dyDescent="0.3">
      <c r="A7" s="450" t="s">
        <v>250</v>
      </c>
      <c r="C7" s="351">
        <f>'Grille tarifaire'!Q151</f>
        <v>3355.09</v>
      </c>
      <c r="D7" s="333" t="s">
        <v>184</v>
      </c>
      <c r="E7" s="351">
        <f>'Grille tarifaire'!Q152</f>
        <v>915.22</v>
      </c>
      <c r="G7" s="333" t="s">
        <v>339</v>
      </c>
      <c r="H7" s="351">
        <f>'Grille tarifaire'!Q154</f>
        <v>6.55</v>
      </c>
      <c r="J7" s="333" t="s">
        <v>347</v>
      </c>
      <c r="K7" s="333" t="s">
        <v>19</v>
      </c>
      <c r="L7" s="351">
        <f>'Grille tarifaire'!Q156</f>
        <v>8.5</v>
      </c>
      <c r="M7" s="351">
        <f>'Grille tarifaire'!Q157</f>
        <v>1.84</v>
      </c>
      <c r="N7" s="351">
        <f>'Grille tarifaire'!Q158</f>
        <v>68.209999999999994</v>
      </c>
    </row>
    <row r="8" spans="1:14" ht="15.95" customHeight="1" thickBot="1" x14ac:dyDescent="0.3">
      <c r="A8" s="450"/>
      <c r="D8" s="333" t="s">
        <v>186</v>
      </c>
      <c r="E8" s="351">
        <f>'Grille tarifaire'!Q153</f>
        <v>1372.83</v>
      </c>
      <c r="G8" s="333" t="s">
        <v>340</v>
      </c>
      <c r="H8" s="351">
        <f>'Grille tarifaire'!Q155</f>
        <v>6.93</v>
      </c>
      <c r="J8" s="333" t="s">
        <v>348</v>
      </c>
      <c r="K8" s="333" t="s">
        <v>19</v>
      </c>
      <c r="L8" s="351">
        <f>'Grille tarifaire'!Q159</f>
        <v>2.96</v>
      </c>
      <c r="M8" s="351">
        <f>'Grille tarifaire'!Q160</f>
        <v>1.84</v>
      </c>
      <c r="N8" s="351">
        <f>'Grille tarifaire'!Q161</f>
        <v>24.22</v>
      </c>
    </row>
    <row r="9" spans="1:14" ht="15.75" thickBot="1" x14ac:dyDescent="0.3"/>
    <row r="10" spans="1:14" ht="15.95" customHeight="1" thickBot="1" x14ac:dyDescent="0.3">
      <c r="A10" s="450" t="s">
        <v>251</v>
      </c>
      <c r="C10" s="352">
        <f>'Grille tarifaire'!R151</f>
        <v>3430.92</v>
      </c>
      <c r="D10" s="333" t="s">
        <v>184</v>
      </c>
      <c r="E10" s="352">
        <f>'Grille tarifaire'!R152</f>
        <v>935.9</v>
      </c>
      <c r="G10" s="333" t="s">
        <v>339</v>
      </c>
      <c r="H10" s="352">
        <f>'Grille tarifaire'!R154</f>
        <v>6.7</v>
      </c>
      <c r="J10" s="333" t="s">
        <v>347</v>
      </c>
      <c r="K10" s="333" t="s">
        <v>19</v>
      </c>
      <c r="L10" s="352">
        <f>'Grille tarifaire'!R156</f>
        <v>8.69</v>
      </c>
      <c r="M10" s="352">
        <f>'Grille tarifaire'!R157</f>
        <v>1.88</v>
      </c>
      <c r="N10" s="352">
        <f>'Grille tarifaire'!R158</f>
        <v>69.75</v>
      </c>
    </row>
    <row r="11" spans="1:14" ht="15.95" customHeight="1" thickBot="1" x14ac:dyDescent="0.3">
      <c r="A11" s="450"/>
      <c r="D11" s="333" t="s">
        <v>186</v>
      </c>
      <c r="E11" s="352">
        <f>'Grille tarifaire'!R153</f>
        <v>1403.86</v>
      </c>
      <c r="G11" s="333" t="s">
        <v>340</v>
      </c>
      <c r="H11" s="352">
        <f>'Grille tarifaire'!R155</f>
        <v>7.09</v>
      </c>
      <c r="J11" s="333" t="s">
        <v>348</v>
      </c>
      <c r="K11" s="333" t="s">
        <v>19</v>
      </c>
      <c r="L11" s="352">
        <f>'Grille tarifaire'!R159</f>
        <v>3.03</v>
      </c>
      <c r="M11" s="352">
        <f>'Grille tarifaire'!R160</f>
        <v>1.88</v>
      </c>
      <c r="N11" s="352">
        <f>'Grille tarifaire'!R161</f>
        <v>24.77</v>
      </c>
    </row>
    <row r="12" spans="1:14" ht="15.75" thickBot="1" x14ac:dyDescent="0.3"/>
    <row r="13" spans="1:14" ht="15.95" customHeight="1" thickBot="1" x14ac:dyDescent="0.3">
      <c r="A13" s="450" t="s">
        <v>252</v>
      </c>
      <c r="C13" s="352">
        <f>'Grille tarifaire'!S151</f>
        <v>3654.36</v>
      </c>
      <c r="D13" s="333" t="s">
        <v>184</v>
      </c>
      <c r="E13" s="352">
        <f>'Grille tarifaire'!S152</f>
        <v>996.86</v>
      </c>
      <c r="G13" s="333" t="s">
        <v>339</v>
      </c>
      <c r="H13" s="352">
        <f>'Grille tarifaire'!S154</f>
        <v>7.13</v>
      </c>
      <c r="J13" s="333" t="s">
        <v>347</v>
      </c>
      <c r="K13" s="333" t="s">
        <v>19</v>
      </c>
      <c r="L13" s="352">
        <f>'Grille tarifaire'!S156</f>
        <v>9.26</v>
      </c>
      <c r="M13" s="352">
        <f>'Grille tarifaire'!S157</f>
        <v>2</v>
      </c>
      <c r="N13" s="352">
        <f>'Grille tarifaire'!S158</f>
        <v>74.290000000000006</v>
      </c>
    </row>
    <row r="14" spans="1:14" ht="15.95" customHeight="1" thickBot="1" x14ac:dyDescent="0.3">
      <c r="A14" s="450"/>
      <c r="D14" s="333" t="s">
        <v>186</v>
      </c>
      <c r="E14" s="352">
        <f>'Grille tarifaire'!S153</f>
        <v>1495.29</v>
      </c>
      <c r="G14" s="333" t="s">
        <v>340</v>
      </c>
      <c r="H14" s="352">
        <f>'Grille tarifaire'!S155</f>
        <v>7.55</v>
      </c>
      <c r="J14" s="333" t="s">
        <v>348</v>
      </c>
      <c r="K14" s="333" t="s">
        <v>19</v>
      </c>
      <c r="L14" s="352">
        <f>'Grille tarifaire'!S159</f>
        <v>3.22</v>
      </c>
      <c r="M14" s="352">
        <f>'Grille tarifaire'!S160</f>
        <v>2</v>
      </c>
      <c r="N14" s="352">
        <f>'Grille tarifaire'!S161</f>
        <v>26.38</v>
      </c>
    </row>
    <row r="15" spans="1:14" ht="15.75" thickBot="1" x14ac:dyDescent="0.3"/>
    <row r="16" spans="1:14" ht="15.95" customHeight="1" thickBot="1" x14ac:dyDescent="0.3">
      <c r="A16" s="450" t="s">
        <v>253</v>
      </c>
      <c r="C16" s="352">
        <f>'Grille tarifaire'!T151</f>
        <v>3733.96</v>
      </c>
      <c r="D16" s="333" t="s">
        <v>184</v>
      </c>
      <c r="E16" s="352">
        <f>'Grille tarifaire'!T152</f>
        <v>1018.57</v>
      </c>
      <c r="G16" s="333" t="s">
        <v>339</v>
      </c>
      <c r="H16" s="352">
        <f>'Grille tarifaire'!T154</f>
        <v>7.29</v>
      </c>
      <c r="J16" s="333" t="s">
        <v>347</v>
      </c>
      <c r="K16" s="333" t="s">
        <v>19</v>
      </c>
      <c r="L16" s="352">
        <f>'Grille tarifaire'!T156</f>
        <v>9.4600000000000009</v>
      </c>
      <c r="M16" s="352">
        <f>'Grille tarifaire'!T157</f>
        <v>2.0499999999999998</v>
      </c>
      <c r="N16" s="352">
        <f>'Grille tarifaire'!T158</f>
        <v>75.91</v>
      </c>
    </row>
    <row r="17" spans="1:14" ht="15.95" customHeight="1" thickBot="1" x14ac:dyDescent="0.3">
      <c r="A17" s="450"/>
      <c r="D17" s="333" t="s">
        <v>186</v>
      </c>
      <c r="E17" s="352">
        <f>'Grille tarifaire'!T153</f>
        <v>1527.86</v>
      </c>
      <c r="G17" s="333" t="s">
        <v>340</v>
      </c>
      <c r="H17" s="352">
        <f>'Grille tarifaire'!T155</f>
        <v>7.71</v>
      </c>
      <c r="J17" s="333" t="s">
        <v>348</v>
      </c>
      <c r="K17" s="333" t="s">
        <v>19</v>
      </c>
      <c r="L17" s="352">
        <f>'Grille tarifaire'!T159</f>
        <v>3.29</v>
      </c>
      <c r="M17" s="352">
        <f>'Grille tarifaire'!T160</f>
        <v>2.0499999999999998</v>
      </c>
      <c r="N17" s="352">
        <f>'Grille tarifaire'!T161</f>
        <v>26.96</v>
      </c>
    </row>
    <row r="19" spans="1:14" x14ac:dyDescent="0.25">
      <c r="E19" s="357"/>
      <c r="F19" s="357"/>
      <c r="G19" s="357"/>
      <c r="H19" s="357"/>
      <c r="J19" s="357"/>
      <c r="K19" s="357"/>
      <c r="L19" s="357"/>
    </row>
    <row r="20" spans="1:14" x14ac:dyDescent="0.25">
      <c r="E20" s="357"/>
      <c r="F20" s="357"/>
      <c r="G20" s="357"/>
      <c r="H20" s="357"/>
      <c r="J20" s="357"/>
      <c r="K20" s="357"/>
      <c r="L20" s="357"/>
    </row>
    <row r="22" spans="1:14" x14ac:dyDescent="0.25">
      <c r="E22" s="357"/>
      <c r="F22" s="357"/>
      <c r="G22" s="357"/>
      <c r="H22" s="357"/>
      <c r="J22" s="357"/>
      <c r="K22" s="357"/>
      <c r="L22" s="357"/>
    </row>
    <row r="23" spans="1:14" x14ac:dyDescent="0.25">
      <c r="E23" s="357"/>
      <c r="F23" s="357"/>
      <c r="G23" s="357"/>
      <c r="H23" s="357"/>
      <c r="J23" s="357"/>
      <c r="K23" s="357"/>
      <c r="L23" s="357"/>
    </row>
    <row r="25" spans="1:14" x14ac:dyDescent="0.25">
      <c r="E25" s="357"/>
      <c r="F25" s="357"/>
      <c r="G25" s="357"/>
      <c r="H25" s="357"/>
      <c r="J25" s="357"/>
      <c r="K25" s="357"/>
      <c r="L25" s="357"/>
    </row>
    <row r="26" spans="1:14" x14ac:dyDescent="0.25">
      <c r="E26" s="357"/>
      <c r="F26" s="357"/>
      <c r="G26" s="357"/>
      <c r="H26" s="357"/>
      <c r="J26" s="357"/>
      <c r="K26" s="357"/>
      <c r="L26" s="357"/>
    </row>
    <row r="28" spans="1:14" x14ac:dyDescent="0.25">
      <c r="E28" s="357"/>
      <c r="F28" s="357"/>
      <c r="G28" s="357"/>
      <c r="H28" s="357"/>
      <c r="J28" s="357"/>
      <c r="K28" s="357"/>
      <c r="L28" s="357"/>
    </row>
    <row r="29" spans="1:14" x14ac:dyDescent="0.25">
      <c r="E29" s="357"/>
      <c r="F29" s="357"/>
      <c r="G29" s="357"/>
      <c r="H29" s="357"/>
      <c r="J29" s="357"/>
      <c r="K29" s="357"/>
      <c r="L29" s="357"/>
    </row>
    <row r="38" ht="28.5" customHeight="1" x14ac:dyDescent="0.25"/>
  </sheetData>
  <mergeCells count="9">
    <mergeCell ref="A13:A14"/>
    <mergeCell ref="A16:A17"/>
    <mergeCell ref="C4:E4"/>
    <mergeCell ref="D6:E6"/>
    <mergeCell ref="C2:H2"/>
    <mergeCell ref="G4:H4"/>
    <mergeCell ref="J4:N4"/>
    <mergeCell ref="A7:A8"/>
    <mergeCell ref="A10:A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B9CB-D74C-4E49-9D24-31DB71DA20CF}">
  <sheetPr>
    <tabColor theme="4"/>
  </sheetPr>
  <dimension ref="A1:D38"/>
  <sheetViews>
    <sheetView workbookViewId="0">
      <selection sqref="A1:XFD1048576"/>
    </sheetView>
  </sheetViews>
  <sheetFormatPr baseColWidth="10" defaultColWidth="9.28515625" defaultRowHeight="15" x14ac:dyDescent="0.25"/>
  <cols>
    <col min="1" max="1" width="17.7109375" customWidth="1"/>
    <col min="2" max="2" width="4.28515625" customWidth="1"/>
    <col min="3" max="3" width="20.7109375" customWidth="1"/>
    <col min="4" max="4" width="18.7109375" customWidth="1"/>
    <col min="5" max="5" width="4.28515625" customWidth="1"/>
  </cols>
  <sheetData>
    <row r="1" spans="1:4" x14ac:dyDescent="0.25">
      <c r="C1" s="338" t="s">
        <v>0</v>
      </c>
      <c r="D1" s="338"/>
    </row>
    <row r="2" spans="1:4" ht="24" customHeight="1" x14ac:dyDescent="0.25">
      <c r="C2" s="344" t="s">
        <v>349</v>
      </c>
      <c r="D2" s="344"/>
    </row>
    <row r="4" spans="1:4" ht="39.950000000000003" customHeight="1" x14ac:dyDescent="0.25">
      <c r="C4" s="491" t="s">
        <v>350</v>
      </c>
      <c r="D4" s="450"/>
    </row>
    <row r="5" spans="1:4" ht="15.75" thickBot="1" x14ac:dyDescent="0.3"/>
    <row r="6" spans="1:4" ht="39.950000000000003" customHeight="1" thickBot="1" x14ac:dyDescent="0.3">
      <c r="B6" s="340"/>
      <c r="C6" s="495" t="s">
        <v>351</v>
      </c>
      <c r="D6" s="496"/>
    </row>
    <row r="7" spans="1:4" ht="15.95" customHeight="1" thickBot="1" x14ac:dyDescent="0.3">
      <c r="A7" s="450" t="s">
        <v>250</v>
      </c>
      <c r="C7" s="333" t="s">
        <v>184</v>
      </c>
      <c r="D7" s="351">
        <f>'Grille tarifaire'!Q162</f>
        <v>0.52</v>
      </c>
    </row>
    <row r="8" spans="1:4" ht="15.95" customHeight="1" thickBot="1" x14ac:dyDescent="0.3">
      <c r="A8" s="450"/>
      <c r="C8" s="333" t="s">
        <v>186</v>
      </c>
      <c r="D8" s="351">
        <f>'Grille tarifaire'!Q163</f>
        <v>0.76</v>
      </c>
    </row>
    <row r="9" spans="1:4" ht="15.75" thickBot="1" x14ac:dyDescent="0.3"/>
    <row r="10" spans="1:4" ht="15.95" customHeight="1" thickBot="1" x14ac:dyDescent="0.3">
      <c r="A10" s="450" t="s">
        <v>251</v>
      </c>
      <c r="C10" s="333" t="s">
        <v>184</v>
      </c>
      <c r="D10" s="333">
        <f>'Grille tarifaire'!R162</f>
        <v>0.53</v>
      </c>
    </row>
    <row r="11" spans="1:4" ht="15.95" customHeight="1" thickBot="1" x14ac:dyDescent="0.3">
      <c r="A11" s="450"/>
      <c r="C11" s="333" t="s">
        <v>186</v>
      </c>
      <c r="D11" s="333">
        <f>'Grille tarifaire'!R163</f>
        <v>0.78</v>
      </c>
    </row>
    <row r="12" spans="1:4" ht="15.75" thickBot="1" x14ac:dyDescent="0.3"/>
    <row r="13" spans="1:4" ht="15.95" customHeight="1" thickBot="1" x14ac:dyDescent="0.3">
      <c r="A13" s="450" t="s">
        <v>252</v>
      </c>
      <c r="C13" s="333" t="s">
        <v>184</v>
      </c>
      <c r="D13" s="333">
        <f>'Grille tarifaire'!S162</f>
        <v>0.56999999999999995</v>
      </c>
    </row>
    <row r="14" spans="1:4" ht="15.95" customHeight="1" thickBot="1" x14ac:dyDescent="0.3">
      <c r="A14" s="450"/>
      <c r="C14" s="333" t="s">
        <v>186</v>
      </c>
      <c r="D14" s="333">
        <f>'Grille tarifaire'!S163</f>
        <v>0.83</v>
      </c>
    </row>
    <row r="15" spans="1:4" ht="15.75" thickBot="1" x14ac:dyDescent="0.3"/>
    <row r="16" spans="1:4" ht="15.95" customHeight="1" thickBot="1" x14ac:dyDescent="0.3">
      <c r="A16" s="450" t="s">
        <v>253</v>
      </c>
      <c r="C16" s="333" t="s">
        <v>184</v>
      </c>
      <c r="D16" s="333">
        <f>'Grille tarifaire'!T162</f>
        <v>0.57999999999999996</v>
      </c>
    </row>
    <row r="17" spans="1:4" ht="15.95" customHeight="1" thickBot="1" x14ac:dyDescent="0.3">
      <c r="A17" s="450"/>
      <c r="C17" s="333" t="s">
        <v>186</v>
      </c>
      <c r="D17" s="333">
        <f>'Grille tarifaire'!T163</f>
        <v>0.85</v>
      </c>
    </row>
    <row r="38" ht="28.5" customHeight="1" x14ac:dyDescent="0.25"/>
  </sheetData>
  <mergeCells count="6">
    <mergeCell ref="A10:A11"/>
    <mergeCell ref="A13:A14"/>
    <mergeCell ref="A16:A17"/>
    <mergeCell ref="C6:D6"/>
    <mergeCell ref="C4:D4"/>
    <mergeCell ref="A7:A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07EA-E6DD-4F1F-9D19-24FFCE6B53A0}">
  <sheetPr>
    <tabColor theme="4"/>
  </sheetPr>
  <dimension ref="A1:E34"/>
  <sheetViews>
    <sheetView workbookViewId="0">
      <selection activeCell="B5" sqref="B5:B6"/>
    </sheetView>
  </sheetViews>
  <sheetFormatPr baseColWidth="10" defaultColWidth="9.28515625" defaultRowHeight="15" x14ac:dyDescent="0.25"/>
  <cols>
    <col min="1" max="1" width="17.7109375" customWidth="1"/>
    <col min="2" max="2" width="4.28515625" customWidth="1"/>
    <col min="3" max="4" width="20.7109375" customWidth="1"/>
    <col min="5" max="5" width="18.7109375" customWidth="1"/>
    <col min="6" max="6" width="4.28515625" customWidth="1"/>
  </cols>
  <sheetData>
    <row r="1" spans="1:5" x14ac:dyDescent="0.25">
      <c r="C1" s="338" t="s">
        <v>0</v>
      </c>
      <c r="D1" s="338"/>
      <c r="E1" s="338"/>
    </row>
    <row r="2" spans="1:5" ht="24" customHeight="1" x14ac:dyDescent="0.25">
      <c r="C2" s="344" t="s">
        <v>352</v>
      </c>
      <c r="D2" s="344"/>
      <c r="E2" s="344"/>
    </row>
    <row r="4" spans="1:5" ht="39.950000000000003" customHeight="1" x14ac:dyDescent="0.25">
      <c r="C4" s="491" t="s">
        <v>353</v>
      </c>
      <c r="D4" s="450"/>
      <c r="E4" s="450"/>
    </row>
    <row r="5" spans="1:5" ht="15.75" thickBot="1" x14ac:dyDescent="0.3"/>
    <row r="6" spans="1:5" ht="39.950000000000003" customHeight="1" thickBot="1" x14ac:dyDescent="0.3">
      <c r="C6" s="363" t="s">
        <v>354</v>
      </c>
      <c r="D6" s="364" t="s">
        <v>355</v>
      </c>
      <c r="E6" s="365" t="s">
        <v>356</v>
      </c>
    </row>
    <row r="7" spans="1:5" ht="32.1" customHeight="1" thickBot="1" x14ac:dyDescent="0.3">
      <c r="A7" s="335" t="s">
        <v>250</v>
      </c>
      <c r="C7" s="333" t="s">
        <v>165</v>
      </c>
      <c r="D7" s="333" t="s">
        <v>19</v>
      </c>
      <c r="E7" s="351">
        <f>'Grille tarifaire'!Q164</f>
        <v>8.74</v>
      </c>
    </row>
    <row r="8" spans="1:5" ht="15.75" thickBot="1" x14ac:dyDescent="0.3"/>
    <row r="9" spans="1:5" ht="32.1" customHeight="1" thickBot="1" x14ac:dyDescent="0.3">
      <c r="A9" s="335" t="s">
        <v>251</v>
      </c>
      <c r="C9" s="333" t="s">
        <v>165</v>
      </c>
      <c r="D9" s="333" t="s">
        <v>19</v>
      </c>
      <c r="E9" s="333">
        <f>'Grille tarifaire'!R164</f>
        <v>8.94</v>
      </c>
    </row>
    <row r="10" spans="1:5" ht="15.75" thickBot="1" x14ac:dyDescent="0.3"/>
    <row r="11" spans="1:5" ht="32.1" customHeight="1" thickBot="1" x14ac:dyDescent="0.3">
      <c r="A11" s="335" t="s">
        <v>252</v>
      </c>
      <c r="C11" s="333" t="s">
        <v>165</v>
      </c>
      <c r="D11" s="333" t="s">
        <v>19</v>
      </c>
      <c r="E11" s="333">
        <f>'Grille tarifaire'!S164</f>
        <v>9.52</v>
      </c>
    </row>
    <row r="12" spans="1:5" ht="15.75" thickBot="1" x14ac:dyDescent="0.3"/>
    <row r="13" spans="1:5" ht="32.1" customHeight="1" thickBot="1" x14ac:dyDescent="0.3">
      <c r="A13" s="335" t="s">
        <v>253</v>
      </c>
      <c r="C13" s="333" t="s">
        <v>165</v>
      </c>
      <c r="D13" s="333" t="s">
        <v>19</v>
      </c>
      <c r="E13" s="333">
        <f>'Grille tarifaire'!T164</f>
        <v>9.73</v>
      </c>
    </row>
    <row r="34" ht="28.5" customHeight="1" x14ac:dyDescent="0.25"/>
  </sheetData>
  <mergeCells count="1">
    <mergeCell ref="C4:E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3BE1-9520-4CD3-A65F-AF5F82A4E340}">
  <sheetPr>
    <tabColor theme="4"/>
  </sheetPr>
  <dimension ref="A1:N38"/>
  <sheetViews>
    <sheetView workbookViewId="0">
      <selection activeCell="K24" sqref="A21:K24"/>
    </sheetView>
  </sheetViews>
  <sheetFormatPr baseColWidth="10" defaultColWidth="9.28515625" defaultRowHeight="15" x14ac:dyDescent="0.25"/>
  <cols>
    <col min="1" max="1" width="17.7109375" customWidth="1"/>
    <col min="2" max="2" width="4.28515625" customWidth="1"/>
    <col min="3" max="4" width="20.7109375" customWidth="1"/>
    <col min="5" max="5" width="18.7109375" customWidth="1"/>
    <col min="6" max="6" width="4.28515625" customWidth="1"/>
    <col min="7" max="8" width="20.7109375" customWidth="1"/>
    <col min="9" max="9" width="4.28515625" customWidth="1"/>
    <col min="10" max="11" width="20.7109375" customWidth="1"/>
    <col min="12" max="12" width="4.28515625" customWidth="1"/>
    <col min="13" max="14" width="20.7109375" customWidth="1"/>
    <col min="15" max="15" width="4.28515625" customWidth="1"/>
  </cols>
  <sheetData>
    <row r="1" spans="1:14" x14ac:dyDescent="0.25">
      <c r="C1" s="338" t="s">
        <v>0</v>
      </c>
      <c r="D1" s="338"/>
      <c r="E1" s="338"/>
      <c r="G1" s="338"/>
      <c r="H1" s="338"/>
      <c r="J1" s="338"/>
      <c r="K1" s="338"/>
      <c r="M1" s="338"/>
      <c r="N1" s="338"/>
    </row>
    <row r="2" spans="1:14" ht="24" customHeight="1" x14ac:dyDescent="0.25">
      <c r="C2" s="344" t="s">
        <v>357</v>
      </c>
      <c r="D2" s="344"/>
      <c r="E2" s="344"/>
      <c r="G2" s="344"/>
      <c r="H2" s="344"/>
      <c r="J2" s="344"/>
      <c r="K2" s="344"/>
      <c r="M2" s="344"/>
      <c r="N2" s="344"/>
    </row>
    <row r="4" spans="1:14" ht="39.950000000000003" customHeight="1" x14ac:dyDescent="0.25">
      <c r="C4" s="491" t="s">
        <v>358</v>
      </c>
      <c r="D4" s="450"/>
      <c r="E4" s="450"/>
      <c r="G4" s="491" t="s">
        <v>359</v>
      </c>
      <c r="H4" s="450"/>
      <c r="J4" s="491" t="s">
        <v>360</v>
      </c>
      <c r="K4" s="450"/>
      <c r="M4" s="491" t="s">
        <v>361</v>
      </c>
      <c r="N4" s="450"/>
    </row>
    <row r="5" spans="1:14" ht="15.75" thickBot="1" x14ac:dyDescent="0.3"/>
    <row r="6" spans="1:14" ht="39.950000000000003" customHeight="1" thickBot="1" x14ac:dyDescent="0.3">
      <c r="C6" s="363" t="s">
        <v>354</v>
      </c>
      <c r="D6" s="364" t="s">
        <v>355</v>
      </c>
      <c r="E6" s="365" t="s">
        <v>197</v>
      </c>
      <c r="G6" s="363" t="s">
        <v>265</v>
      </c>
      <c r="H6" s="365" t="s">
        <v>197</v>
      </c>
      <c r="J6" s="363" t="s">
        <v>265</v>
      </c>
      <c r="K6" s="365" t="s">
        <v>197</v>
      </c>
      <c r="M6" s="363" t="s">
        <v>265</v>
      </c>
      <c r="N6" s="365" t="s">
        <v>197</v>
      </c>
    </row>
    <row r="7" spans="1:14" ht="15.95" customHeight="1" thickBot="1" x14ac:dyDescent="0.3">
      <c r="A7" s="450" t="s">
        <v>250</v>
      </c>
      <c r="C7" s="333" t="s">
        <v>19</v>
      </c>
      <c r="D7" s="333">
        <v>0.4</v>
      </c>
      <c r="E7" s="351">
        <f>'Grille tarifaire'!Q165</f>
        <v>2.02</v>
      </c>
      <c r="G7" s="333" t="s">
        <v>19</v>
      </c>
      <c r="H7" s="366">
        <f>'Grille tarifaire'!Q167</f>
        <v>2.02</v>
      </c>
      <c r="J7" s="333" t="s">
        <v>19</v>
      </c>
      <c r="K7" s="366">
        <f>'Grille tarifaire'!Q169</f>
        <v>2.02</v>
      </c>
      <c r="M7" s="333" t="s">
        <v>19</v>
      </c>
      <c r="N7" s="366">
        <f>'Grille tarifaire'!Q170</f>
        <v>2.02</v>
      </c>
    </row>
    <row r="8" spans="1:14" ht="15.95" customHeight="1" thickBot="1" x14ac:dyDescent="0.3">
      <c r="A8" s="450"/>
      <c r="C8" s="333" t="s">
        <v>198</v>
      </c>
      <c r="D8" s="333">
        <v>0.4</v>
      </c>
      <c r="E8" s="351">
        <f>'Grille tarifaire'!Q166</f>
        <v>2.11</v>
      </c>
      <c r="G8" s="333" t="s">
        <v>198</v>
      </c>
      <c r="H8" s="366">
        <f>'Grille tarifaire'!Q168</f>
        <v>2.11</v>
      </c>
      <c r="K8" s="367"/>
      <c r="N8" s="367"/>
    </row>
    <row r="9" spans="1:14" ht="15.75" thickBot="1" x14ac:dyDescent="0.3">
      <c r="E9" s="367"/>
      <c r="H9" s="367"/>
      <c r="K9" s="367"/>
      <c r="N9" s="367"/>
    </row>
    <row r="10" spans="1:14" ht="15.95" customHeight="1" thickBot="1" x14ac:dyDescent="0.3">
      <c r="A10" s="450" t="s">
        <v>251</v>
      </c>
      <c r="C10" s="333" t="s">
        <v>19</v>
      </c>
      <c r="D10" s="333">
        <v>0.4</v>
      </c>
      <c r="E10" s="366">
        <f>'Grille tarifaire'!R165</f>
        <v>2.0699999999999998</v>
      </c>
      <c r="G10" s="333" t="s">
        <v>19</v>
      </c>
      <c r="H10" s="366">
        <f>'Grille tarifaire'!R167</f>
        <v>2.0699999999999998</v>
      </c>
      <c r="J10" s="333" t="s">
        <v>19</v>
      </c>
      <c r="K10" s="366">
        <f>'Grille tarifaire'!R169</f>
        <v>2.0699999999999998</v>
      </c>
      <c r="M10" s="333" t="s">
        <v>19</v>
      </c>
      <c r="N10" s="366">
        <f>'Grille tarifaire'!R170</f>
        <v>2.0699999999999998</v>
      </c>
    </row>
    <row r="11" spans="1:14" ht="15.95" customHeight="1" thickBot="1" x14ac:dyDescent="0.3">
      <c r="A11" s="450"/>
      <c r="C11" s="333" t="s">
        <v>198</v>
      </c>
      <c r="D11" s="333">
        <v>0.4</v>
      </c>
      <c r="E11" s="366">
        <f>'Grille tarifaire'!R166</f>
        <v>2.16</v>
      </c>
      <c r="G11" s="333" t="s">
        <v>198</v>
      </c>
      <c r="H11" s="366">
        <f>'Grille tarifaire'!R168</f>
        <v>2.16</v>
      </c>
      <c r="K11" s="367"/>
      <c r="N11" s="367"/>
    </row>
    <row r="12" spans="1:14" ht="15.75" thickBot="1" x14ac:dyDescent="0.3">
      <c r="E12" s="367"/>
      <c r="H12" s="367"/>
      <c r="K12" s="367"/>
      <c r="N12" s="367"/>
    </row>
    <row r="13" spans="1:14" ht="15.95" customHeight="1" thickBot="1" x14ac:dyDescent="0.3">
      <c r="A13" s="450" t="s">
        <v>252</v>
      </c>
      <c r="C13" s="333" t="s">
        <v>19</v>
      </c>
      <c r="D13" s="333">
        <v>0.4</v>
      </c>
      <c r="E13" s="366">
        <f>'Grille tarifaire'!S165</f>
        <v>2.2000000000000002</v>
      </c>
      <c r="G13" s="333" t="s">
        <v>19</v>
      </c>
      <c r="H13" s="366">
        <f>'Grille tarifaire'!S167</f>
        <v>2.2000000000000002</v>
      </c>
      <c r="J13" s="333" t="s">
        <v>19</v>
      </c>
      <c r="K13" s="366">
        <f>'Grille tarifaire'!S169</f>
        <v>2.2000000000000002</v>
      </c>
      <c r="M13" s="333" t="s">
        <v>19</v>
      </c>
      <c r="N13" s="366">
        <f>'Grille tarifaire'!S170</f>
        <v>2.2000000000000002</v>
      </c>
    </row>
    <row r="14" spans="1:14" ht="15.95" customHeight="1" thickBot="1" x14ac:dyDescent="0.3">
      <c r="A14" s="450"/>
      <c r="C14" s="333" t="s">
        <v>198</v>
      </c>
      <c r="D14" s="333">
        <v>0.4</v>
      </c>
      <c r="E14" s="366">
        <f>'Grille tarifaire'!S166</f>
        <v>2.2999999999999998</v>
      </c>
      <c r="G14" s="333" t="s">
        <v>198</v>
      </c>
      <c r="H14" s="366">
        <f>'Grille tarifaire'!S168</f>
        <v>2.2999999999999998</v>
      </c>
      <c r="K14" s="367"/>
      <c r="N14" s="367"/>
    </row>
    <row r="15" spans="1:14" ht="15.75" thickBot="1" x14ac:dyDescent="0.3">
      <c r="E15" s="367"/>
      <c r="H15" s="367"/>
      <c r="K15" s="367"/>
      <c r="N15" s="367"/>
    </row>
    <row r="16" spans="1:14" ht="15.95" customHeight="1" thickBot="1" x14ac:dyDescent="0.3">
      <c r="A16" s="450" t="s">
        <v>253</v>
      </c>
      <c r="C16" s="333" t="s">
        <v>19</v>
      </c>
      <c r="D16" s="333">
        <v>0.4</v>
      </c>
      <c r="E16" s="366">
        <f>'Grille tarifaire'!T165</f>
        <v>2.25</v>
      </c>
      <c r="G16" s="333" t="s">
        <v>19</v>
      </c>
      <c r="H16" s="366">
        <f>'Grille tarifaire'!T167</f>
        <v>2.25</v>
      </c>
      <c r="J16" s="333" t="s">
        <v>19</v>
      </c>
      <c r="K16" s="366">
        <f>'Grille tarifaire'!T169</f>
        <v>2.25</v>
      </c>
      <c r="M16" s="333" t="s">
        <v>19</v>
      </c>
      <c r="N16" s="366">
        <f>'Grille tarifaire'!T170</f>
        <v>2.25</v>
      </c>
    </row>
    <row r="17" spans="1:8" ht="15.95" customHeight="1" thickBot="1" x14ac:dyDescent="0.3">
      <c r="A17" s="450"/>
      <c r="C17" s="333" t="s">
        <v>198</v>
      </c>
      <c r="D17" s="333">
        <v>0.4</v>
      </c>
      <c r="E17" s="366">
        <f>'Grille tarifaire'!T166</f>
        <v>2.35</v>
      </c>
      <c r="G17" s="333" t="s">
        <v>198</v>
      </c>
      <c r="H17" s="366">
        <f>'Grille tarifaire'!T168</f>
        <v>2.35</v>
      </c>
    </row>
    <row r="38" ht="28.5" customHeight="1" x14ac:dyDescent="0.25"/>
  </sheetData>
  <mergeCells count="8">
    <mergeCell ref="A13:A14"/>
    <mergeCell ref="A16:A17"/>
    <mergeCell ref="G4:H4"/>
    <mergeCell ref="J4:K4"/>
    <mergeCell ref="M4:N4"/>
    <mergeCell ref="C4:E4"/>
    <mergeCell ref="A7:A8"/>
    <mergeCell ref="A10:A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727A-8FDF-4B9D-AC88-FF464F9C8B5B}">
  <sheetPr>
    <tabColor theme="5"/>
  </sheetPr>
  <dimension ref="B1:Q57"/>
  <sheetViews>
    <sheetView topLeftCell="E1" workbookViewId="0">
      <selection activeCell="I49" sqref="I49"/>
    </sheetView>
  </sheetViews>
  <sheetFormatPr baseColWidth="10" defaultColWidth="11.42578125" defaultRowHeight="13.5" x14ac:dyDescent="0.25"/>
  <cols>
    <col min="1" max="1" width="1.7109375" style="19" customWidth="1"/>
    <col min="2" max="2" width="8.7109375" style="19" customWidth="1"/>
    <col min="3" max="3" width="1.7109375" style="19" customWidth="1"/>
    <col min="4" max="4" width="5.5703125" style="19" customWidth="1"/>
    <col min="5" max="5" width="116.5703125" style="19" customWidth="1"/>
    <col min="6" max="11" width="12.7109375" style="19" customWidth="1"/>
    <col min="12" max="12" width="15" style="19" customWidth="1"/>
    <col min="13" max="13" width="17.7109375" style="19" customWidth="1"/>
    <col min="14" max="16384" width="11.42578125" style="19"/>
  </cols>
  <sheetData>
    <row r="1" spans="2:17" s="17" customFormat="1" ht="21" customHeight="1" thickBot="1" x14ac:dyDescent="0.3">
      <c r="E1" s="18" t="s">
        <v>0</v>
      </c>
    </row>
    <row r="2" spans="2:17" s="17" customFormat="1" ht="21" customHeight="1" thickBot="1" x14ac:dyDescent="0.3">
      <c r="E2" s="18"/>
      <c r="F2" s="431" t="s">
        <v>22</v>
      </c>
      <c r="G2" s="431"/>
      <c r="H2" s="431"/>
      <c r="I2" s="131">
        <v>1.7000000000000001E-2</v>
      </c>
    </row>
    <row r="3" spans="2:17" ht="21" customHeight="1" thickBot="1" x14ac:dyDescent="0.3">
      <c r="E3" s="20" t="s">
        <v>93</v>
      </c>
      <c r="F3" s="431" t="s">
        <v>92</v>
      </c>
      <c r="G3" s="431"/>
      <c r="H3" s="431"/>
      <c r="I3" s="131">
        <f>F51</f>
        <v>3.1265255480451902E-3</v>
      </c>
      <c r="J3" s="21"/>
    </row>
    <row r="4" spans="2:17" ht="24.75" thickBot="1" x14ac:dyDescent="0.3">
      <c r="E4" s="22"/>
    </row>
    <row r="5" spans="2:17" ht="16.5" customHeight="1" x14ac:dyDescent="0.25">
      <c r="B5" s="432" t="s">
        <v>6</v>
      </c>
      <c r="E5" s="23" t="s">
        <v>39</v>
      </c>
      <c r="F5" s="24"/>
      <c r="G5" s="24">
        <v>2020</v>
      </c>
      <c r="H5" s="24">
        <v>2021</v>
      </c>
      <c r="I5" s="24">
        <v>2022</v>
      </c>
      <c r="J5" s="24">
        <v>2023</v>
      </c>
      <c r="K5" s="24">
        <v>2024</v>
      </c>
    </row>
    <row r="6" spans="2:17" ht="16.149999999999999" customHeight="1" thickBot="1" x14ac:dyDescent="0.3">
      <c r="B6" s="433"/>
      <c r="E6" s="25" t="s">
        <v>64</v>
      </c>
      <c r="F6" s="26"/>
      <c r="G6" s="27">
        <v>2E-3</v>
      </c>
      <c r="H6" s="27">
        <v>6.0000000000000001E-3</v>
      </c>
      <c r="I6" s="27">
        <v>0.01</v>
      </c>
      <c r="J6" s="27">
        <v>1.2E-2</v>
      </c>
      <c r="K6" s="27">
        <v>1.4999999999999999E-2</v>
      </c>
    </row>
    <row r="7" spans="2:17" ht="16.149999999999999" customHeight="1" thickBot="1" x14ac:dyDescent="0.3">
      <c r="B7" s="433"/>
      <c r="E7" s="28" t="s">
        <v>40</v>
      </c>
      <c r="F7" s="29">
        <v>1</v>
      </c>
      <c r="G7" s="30">
        <f>F7*(1+G6)</f>
        <v>1.002</v>
      </c>
      <c r="H7" s="30">
        <f>G7*(1+H6)</f>
        <v>1.0080119999999999</v>
      </c>
      <c r="I7" s="30">
        <f>H7*(1+I6)</f>
        <v>1.0180921199999999</v>
      </c>
      <c r="J7" s="30">
        <f t="shared" ref="J7:K7" si="0">I7*(1+J6)</f>
        <v>1.0303092254399999</v>
      </c>
      <c r="K7" s="30">
        <f t="shared" si="0"/>
        <v>1.0457638638215998</v>
      </c>
    </row>
    <row r="8" spans="2:17" ht="15" customHeight="1" thickBot="1" x14ac:dyDescent="0.3">
      <c r="E8" s="22"/>
    </row>
    <row r="9" spans="2:17" s="31" customFormat="1" ht="18" customHeight="1" x14ac:dyDescent="0.25">
      <c r="B9" s="434" t="s">
        <v>49</v>
      </c>
      <c r="E9" s="23" t="s">
        <v>41</v>
      </c>
      <c r="F9" s="24"/>
      <c r="G9" s="24"/>
      <c r="H9" s="24">
        <v>2021</v>
      </c>
      <c r="I9" s="24">
        <v>2022</v>
      </c>
      <c r="J9" s="24">
        <v>2023</v>
      </c>
      <c r="K9" s="24">
        <v>2024</v>
      </c>
      <c r="L9" s="24">
        <v>2025</v>
      </c>
      <c r="M9" s="33"/>
      <c r="O9" s="33"/>
      <c r="Q9" s="33"/>
    </row>
    <row r="10" spans="2:17" s="31" customFormat="1" ht="16.149999999999999" customHeight="1" thickBot="1" x14ac:dyDescent="0.3">
      <c r="B10" s="435"/>
      <c r="C10" s="34"/>
      <c r="D10" s="436" t="s">
        <v>24</v>
      </c>
      <c r="E10" s="25" t="s">
        <v>42</v>
      </c>
      <c r="F10" s="26"/>
      <c r="G10" s="35"/>
      <c r="H10" s="109">
        <v>4716.9532453410757</v>
      </c>
      <c r="I10" s="109">
        <v>4677.4462300022878</v>
      </c>
      <c r="J10" s="109">
        <v>4659.5175272354791</v>
      </c>
      <c r="K10" s="109">
        <v>4718.1676497520148</v>
      </c>
      <c r="L10" s="109">
        <f>K10*(1+K6)</f>
        <v>4788.9401644982945</v>
      </c>
      <c r="M10" s="112"/>
      <c r="N10" s="112"/>
      <c r="O10" s="112"/>
      <c r="P10" s="112"/>
    </row>
    <row r="11" spans="2:17" s="31" customFormat="1" ht="16.149999999999999" customHeight="1" thickBot="1" x14ac:dyDescent="0.3">
      <c r="B11" s="435"/>
      <c r="C11" s="34"/>
      <c r="D11" s="436"/>
      <c r="E11" s="36" t="s">
        <v>43</v>
      </c>
      <c r="F11" s="37"/>
      <c r="G11" s="38"/>
      <c r="H11" s="108">
        <v>314.14775658689814</v>
      </c>
      <c r="I11" s="108">
        <v>340.54566174921814</v>
      </c>
      <c r="J11" s="108">
        <v>377.24756571647322</v>
      </c>
      <c r="K11" s="108">
        <v>364.31924096548789</v>
      </c>
      <c r="L11" s="107"/>
      <c r="M11" s="112"/>
      <c r="N11" s="112"/>
      <c r="O11" s="112"/>
      <c r="P11" s="112"/>
    </row>
    <row r="12" spans="2:17" s="31" customFormat="1" ht="16.149999999999999" customHeight="1" thickBot="1" x14ac:dyDescent="0.3">
      <c r="B12" s="435"/>
      <c r="C12" s="34"/>
      <c r="D12" s="436"/>
      <c r="E12" s="36" t="s">
        <v>44</v>
      </c>
      <c r="F12" s="37"/>
      <c r="G12" s="38"/>
      <c r="H12" s="108">
        <v>4391.87</v>
      </c>
      <c r="I12" s="108">
        <v>4496.47</v>
      </c>
      <c r="J12" s="108">
        <v>4591.9399999999996</v>
      </c>
      <c r="K12" s="108">
        <v>4695.51</v>
      </c>
      <c r="L12" s="39"/>
      <c r="M12" s="112"/>
      <c r="N12" s="112"/>
      <c r="O12" s="112"/>
      <c r="P12" s="112"/>
    </row>
    <row r="13" spans="2:17" s="31" customFormat="1" ht="16.149999999999999" customHeight="1" thickBot="1" x14ac:dyDescent="0.3">
      <c r="B13" s="435"/>
      <c r="C13" s="34"/>
      <c r="D13" s="436"/>
      <c r="E13" s="36" t="s">
        <v>65</v>
      </c>
      <c r="F13" s="37"/>
      <c r="G13" s="38"/>
      <c r="H13" s="108">
        <v>3616.7536065079998</v>
      </c>
      <c r="I13" s="108">
        <v>3646.2122445579344</v>
      </c>
      <c r="J13" s="108">
        <v>3690.7558882644362</v>
      </c>
      <c r="K13" s="108">
        <v>3745.8994719213961</v>
      </c>
      <c r="L13" s="39"/>
    </row>
    <row r="14" spans="2:17" s="31" customFormat="1" ht="16.149999999999999" customHeight="1" thickBot="1" x14ac:dyDescent="0.3">
      <c r="B14" s="435"/>
      <c r="C14" s="34"/>
      <c r="D14" s="436"/>
      <c r="E14" s="36" t="s">
        <v>66</v>
      </c>
      <c r="F14" s="37"/>
      <c r="G14" s="38"/>
      <c r="H14" s="108">
        <v>36.17</v>
      </c>
      <c r="I14" s="108">
        <v>42.18</v>
      </c>
      <c r="J14" s="108">
        <v>33.19</v>
      </c>
      <c r="K14" s="108">
        <v>22.5</v>
      </c>
      <c r="L14" s="112"/>
      <c r="M14" s="112"/>
      <c r="N14" s="112"/>
    </row>
    <row r="15" spans="2:17" s="31" customFormat="1" ht="16.149999999999999" customHeight="1" thickBot="1" x14ac:dyDescent="0.3">
      <c r="B15" s="435"/>
      <c r="C15" s="34"/>
      <c r="D15" s="436"/>
      <c r="E15" s="40" t="s">
        <v>67</v>
      </c>
      <c r="F15" s="37"/>
      <c r="G15" s="38"/>
      <c r="H15" s="108">
        <v>1202.1607627350252</v>
      </c>
      <c r="I15" s="108">
        <v>1180.8691607908543</v>
      </c>
      <c r="J15" s="108">
        <v>1165.2368324741296</v>
      </c>
      <c r="K15" s="108">
        <v>1158.6066844761442</v>
      </c>
    </row>
    <row r="16" spans="2:17" s="31" customFormat="1" ht="16.149999999999999" customHeight="1" thickBot="1" x14ac:dyDescent="0.3">
      <c r="B16" s="435"/>
      <c r="D16" s="436"/>
      <c r="E16" s="36" t="s">
        <v>68</v>
      </c>
      <c r="F16" s="37"/>
      <c r="G16" s="38"/>
      <c r="H16" s="108">
        <v>90</v>
      </c>
      <c r="I16" s="108">
        <v>90</v>
      </c>
      <c r="J16" s="108">
        <v>90</v>
      </c>
      <c r="K16" s="108">
        <v>90</v>
      </c>
    </row>
    <row r="17" spans="2:15" s="31" customFormat="1" ht="16.149999999999999" customHeight="1" thickBot="1" x14ac:dyDescent="0.3">
      <c r="B17" s="435"/>
      <c r="D17" s="436"/>
      <c r="E17" s="36" t="s">
        <v>69</v>
      </c>
      <c r="F17" s="37"/>
      <c r="G17" s="38"/>
      <c r="H17" s="108">
        <v>239.77799999999999</v>
      </c>
      <c r="I17" s="108">
        <v>239.77799999999999</v>
      </c>
      <c r="J17" s="108">
        <v>239.77799999999999</v>
      </c>
      <c r="K17" s="108">
        <v>239.77799999999999</v>
      </c>
    </row>
    <row r="18" spans="2:15" s="31" customFormat="1" ht="16.149999999999999" customHeight="1" thickBot="1" x14ac:dyDescent="0.3">
      <c r="B18" s="435"/>
      <c r="D18" s="436"/>
      <c r="E18" s="36" t="s">
        <v>70</v>
      </c>
      <c r="F18" s="37"/>
      <c r="G18" s="38"/>
      <c r="H18" s="108">
        <v>0</v>
      </c>
      <c r="I18" s="108">
        <v>0</v>
      </c>
      <c r="J18" s="108">
        <v>0</v>
      </c>
      <c r="K18" s="108">
        <v>0</v>
      </c>
    </row>
    <row r="19" spans="2:15" s="31" customFormat="1" ht="16.149999999999999" customHeight="1" thickBot="1" x14ac:dyDescent="0.3">
      <c r="B19" s="435"/>
      <c r="D19" s="436"/>
      <c r="E19" s="36" t="s">
        <v>71</v>
      </c>
      <c r="F19" s="37"/>
      <c r="G19" s="38"/>
      <c r="H19" s="108">
        <v>0</v>
      </c>
      <c r="I19" s="108">
        <v>0</v>
      </c>
      <c r="J19" s="108">
        <v>0</v>
      </c>
      <c r="K19" s="108">
        <v>0</v>
      </c>
    </row>
    <row r="20" spans="2:15" s="31" customFormat="1" ht="16.149999999999999" customHeight="1" thickBot="1" x14ac:dyDescent="0.3">
      <c r="B20" s="435"/>
      <c r="D20" s="436"/>
      <c r="E20" s="36" t="s">
        <v>72</v>
      </c>
      <c r="F20" s="37"/>
      <c r="G20" s="38"/>
      <c r="H20" s="108">
        <v>320.55388464800677</v>
      </c>
      <c r="I20" s="108">
        <v>323.27370012130183</v>
      </c>
      <c r="J20" s="108">
        <v>328.08615870544992</v>
      </c>
      <c r="K20" s="108">
        <v>331.06490325657211</v>
      </c>
    </row>
    <row r="21" spans="2:15" s="31" customFormat="1" ht="16.149999999999999" customHeight="1" thickBot="1" x14ac:dyDescent="0.3">
      <c r="B21" s="435"/>
      <c r="D21" s="436"/>
      <c r="E21" s="36" t="s">
        <v>73</v>
      </c>
      <c r="F21" s="37"/>
      <c r="G21" s="38"/>
      <c r="H21" s="108">
        <v>0</v>
      </c>
      <c r="I21" s="108">
        <v>0</v>
      </c>
      <c r="J21" s="108">
        <v>0</v>
      </c>
      <c r="K21" s="108">
        <v>0</v>
      </c>
    </row>
    <row r="22" spans="2:15" s="31" customFormat="1" ht="15.75" customHeight="1" thickBot="1" x14ac:dyDescent="0.3">
      <c r="B22" s="435"/>
      <c r="D22" s="436"/>
      <c r="E22" s="36" t="s">
        <v>74</v>
      </c>
      <c r="F22" s="37"/>
      <c r="G22" s="38"/>
      <c r="H22" s="108">
        <v>0</v>
      </c>
      <c r="I22" s="108">
        <v>0</v>
      </c>
      <c r="J22" s="108">
        <v>0</v>
      </c>
      <c r="K22" s="108">
        <v>0</v>
      </c>
    </row>
    <row r="23" spans="2:15" s="31" customFormat="1" ht="15.75" customHeight="1" thickBot="1" x14ac:dyDescent="0.3">
      <c r="B23" s="435"/>
      <c r="D23" s="436"/>
      <c r="E23" s="36" t="s">
        <v>75</v>
      </c>
      <c r="F23" s="37"/>
      <c r="G23" s="38"/>
      <c r="H23" s="108">
        <v>0</v>
      </c>
      <c r="I23" s="108">
        <v>0</v>
      </c>
      <c r="J23" s="108">
        <v>0</v>
      </c>
      <c r="K23" s="108">
        <v>0</v>
      </c>
    </row>
    <row r="24" spans="2:15" s="31" customFormat="1" ht="16.149999999999999" customHeight="1" thickBot="1" x14ac:dyDescent="0.3">
      <c r="B24" s="435"/>
      <c r="C24" s="34"/>
      <c r="D24" s="436"/>
      <c r="E24" s="36" t="s">
        <v>76</v>
      </c>
      <c r="F24" s="37"/>
      <c r="G24" s="38"/>
      <c r="H24" s="108">
        <f>H57</f>
        <v>-41.289303725154241</v>
      </c>
      <c r="I24" s="108">
        <f t="shared" ref="I24:K24" si="1">I57</f>
        <v>-187.5598840552866</v>
      </c>
      <c r="J24" s="108">
        <f t="shared" si="1"/>
        <v>33.352689307814217</v>
      </c>
      <c r="K24" s="108">
        <f t="shared" si="1"/>
        <v>203.50248886715417</v>
      </c>
    </row>
    <row r="25" spans="2:15" s="31" customFormat="1" ht="15" customHeight="1" thickBot="1" x14ac:dyDescent="0.3">
      <c r="B25" s="435"/>
      <c r="C25" s="34"/>
      <c r="D25" s="102"/>
      <c r="E25" s="103" t="s">
        <v>26</v>
      </c>
      <c r="F25" s="104"/>
      <c r="G25" s="104"/>
      <c r="H25" s="111">
        <f>SUM(H10:H24)</f>
        <v>14887.097952093853</v>
      </c>
      <c r="I25" s="111">
        <f t="shared" ref="I25:K25" si="2">SUM(I10:I24)</f>
        <v>14849.215113166312</v>
      </c>
      <c r="J25" s="111">
        <f t="shared" si="2"/>
        <v>15209.104661703781</v>
      </c>
      <c r="K25" s="111">
        <f t="shared" si="2"/>
        <v>15569.348439238769</v>
      </c>
      <c r="N25" s="33"/>
      <c r="O25" s="43"/>
    </row>
    <row r="26" spans="2:15" s="31" customFormat="1" ht="15" customHeight="1" thickBot="1" x14ac:dyDescent="0.3">
      <c r="B26" s="435"/>
      <c r="C26" s="34"/>
      <c r="D26" s="437" t="s">
        <v>27</v>
      </c>
      <c r="E26" s="25" t="s">
        <v>28</v>
      </c>
      <c r="F26" s="26"/>
      <c r="G26" s="35"/>
      <c r="H26" s="109">
        <v>754.64249780036198</v>
      </c>
      <c r="I26" s="109">
        <v>759.76950328575799</v>
      </c>
      <c r="J26" s="109">
        <v>820.85706919078302</v>
      </c>
      <c r="K26" s="109">
        <v>920.26589868223004</v>
      </c>
      <c r="N26" s="33"/>
      <c r="O26" s="43"/>
    </row>
    <row r="27" spans="2:15" s="31" customFormat="1" ht="15" customHeight="1" thickBot="1" x14ac:dyDescent="0.3">
      <c r="B27" s="435"/>
      <c r="C27" s="34"/>
      <c r="D27" s="436"/>
      <c r="E27" s="36" t="s">
        <v>77</v>
      </c>
      <c r="F27" s="37"/>
      <c r="G27" s="38"/>
      <c r="H27" s="108">
        <v>0</v>
      </c>
      <c r="I27" s="108">
        <v>0</v>
      </c>
      <c r="J27" s="108">
        <v>0</v>
      </c>
      <c r="K27" s="108">
        <v>0</v>
      </c>
      <c r="N27" s="33"/>
      <c r="O27" s="43"/>
    </row>
    <row r="28" spans="2:15" s="31" customFormat="1" ht="15" customHeight="1" thickBot="1" x14ac:dyDescent="0.3">
      <c r="B28" s="435"/>
      <c r="C28" s="34"/>
      <c r="D28" s="436"/>
      <c r="E28" s="36" t="s">
        <v>78</v>
      </c>
      <c r="F28" s="37"/>
      <c r="G28" s="38"/>
      <c r="H28" s="108">
        <v>0</v>
      </c>
      <c r="I28" s="108">
        <v>0</v>
      </c>
      <c r="J28" s="108">
        <v>0</v>
      </c>
      <c r="K28" s="108">
        <v>0</v>
      </c>
      <c r="N28" s="33"/>
      <c r="O28" s="43"/>
    </row>
    <row r="29" spans="2:15" s="31" customFormat="1" ht="15" customHeight="1" thickBot="1" x14ac:dyDescent="0.3">
      <c r="B29" s="435"/>
      <c r="C29" s="34"/>
      <c r="D29" s="436"/>
      <c r="E29" s="36" t="s">
        <v>79</v>
      </c>
      <c r="F29" s="37"/>
      <c r="G29" s="38"/>
      <c r="H29" s="108">
        <v>0</v>
      </c>
      <c r="I29" s="108">
        <v>0</v>
      </c>
      <c r="J29" s="108">
        <v>0</v>
      </c>
      <c r="K29" s="108">
        <v>0</v>
      </c>
      <c r="N29" s="33"/>
      <c r="O29" s="43"/>
    </row>
    <row r="30" spans="2:15" s="31" customFormat="1" ht="15" customHeight="1" thickBot="1" x14ac:dyDescent="0.3">
      <c r="B30" s="435"/>
      <c r="C30" s="34"/>
      <c r="D30" s="102"/>
      <c r="E30" s="103" t="s">
        <v>29</v>
      </c>
      <c r="F30" s="104"/>
      <c r="G30" s="104"/>
      <c r="H30" s="111">
        <f>SUM(H26:H29)</f>
        <v>754.64249780036198</v>
      </c>
      <c r="I30" s="111">
        <f t="shared" ref="I30:K30" si="3">SUM(I26:I29)</f>
        <v>759.76950328575799</v>
      </c>
      <c r="J30" s="111">
        <f t="shared" si="3"/>
        <v>820.85706919078302</v>
      </c>
      <c r="K30" s="111">
        <f t="shared" si="3"/>
        <v>920.26589868223004</v>
      </c>
      <c r="N30" s="33"/>
      <c r="O30" s="43"/>
    </row>
    <row r="31" spans="2:15" s="31" customFormat="1" ht="15" customHeight="1" thickBot="1" x14ac:dyDescent="0.3">
      <c r="B31" s="435"/>
      <c r="C31" s="34"/>
      <c r="D31" s="437" t="s">
        <v>30</v>
      </c>
      <c r="E31" s="40" t="s">
        <v>31</v>
      </c>
      <c r="F31" s="37"/>
      <c r="G31" s="38"/>
      <c r="H31" s="108">
        <v>0</v>
      </c>
      <c r="I31" s="108">
        <v>0</v>
      </c>
      <c r="J31" s="108">
        <v>0</v>
      </c>
      <c r="K31" s="108">
        <v>0</v>
      </c>
      <c r="N31" s="33"/>
      <c r="O31" s="43"/>
    </row>
    <row r="32" spans="2:15" s="31" customFormat="1" ht="15" customHeight="1" thickBot="1" x14ac:dyDescent="0.3">
      <c r="B32" s="435"/>
      <c r="C32" s="34"/>
      <c r="D32" s="436"/>
      <c r="E32" s="40" t="s">
        <v>32</v>
      </c>
      <c r="F32" s="37"/>
      <c r="G32" s="38"/>
      <c r="H32" s="108">
        <v>0</v>
      </c>
      <c r="I32" s="108">
        <v>0</v>
      </c>
      <c r="J32" s="108">
        <v>0</v>
      </c>
      <c r="K32" s="108">
        <v>0</v>
      </c>
      <c r="N32" s="33"/>
      <c r="O32" s="43"/>
    </row>
    <row r="33" spans="2:16" s="31" customFormat="1" ht="15" customHeight="1" thickBot="1" x14ac:dyDescent="0.3">
      <c r="B33" s="435"/>
      <c r="C33" s="34"/>
      <c r="D33" s="436"/>
      <c r="E33" s="40" t="s">
        <v>80</v>
      </c>
      <c r="F33" s="37"/>
      <c r="G33" s="38"/>
      <c r="H33" s="108">
        <v>0</v>
      </c>
      <c r="I33" s="108">
        <v>0</v>
      </c>
      <c r="J33" s="108">
        <v>0</v>
      </c>
      <c r="K33" s="108">
        <v>0</v>
      </c>
      <c r="N33" s="33"/>
      <c r="O33" s="43"/>
    </row>
    <row r="34" spans="2:16" s="31" customFormat="1" ht="15" customHeight="1" thickBot="1" x14ac:dyDescent="0.3">
      <c r="B34" s="435"/>
      <c r="C34" s="34"/>
      <c r="D34" s="436"/>
      <c r="E34" s="40" t="s">
        <v>33</v>
      </c>
      <c r="F34" s="37"/>
      <c r="G34" s="38"/>
      <c r="H34" s="108">
        <v>0</v>
      </c>
      <c r="I34" s="108">
        <v>0</v>
      </c>
      <c r="J34" s="108">
        <v>0</v>
      </c>
      <c r="K34" s="108">
        <v>0</v>
      </c>
      <c r="N34" s="33"/>
      <c r="O34" s="43"/>
    </row>
    <row r="35" spans="2:16" s="31" customFormat="1" ht="15" customHeight="1" thickBot="1" x14ac:dyDescent="0.3">
      <c r="B35" s="435"/>
      <c r="C35" s="34"/>
      <c r="D35" s="436"/>
      <c r="E35" s="40" t="s">
        <v>81</v>
      </c>
      <c r="F35" s="37"/>
      <c r="G35" s="38"/>
      <c r="H35" s="108">
        <v>0</v>
      </c>
      <c r="I35" s="108">
        <v>0</v>
      </c>
      <c r="J35" s="108">
        <v>0</v>
      </c>
      <c r="K35" s="108">
        <v>0</v>
      </c>
      <c r="N35" s="33"/>
      <c r="O35" s="43"/>
    </row>
    <row r="36" spans="2:16" s="31" customFormat="1" ht="15" customHeight="1" thickBot="1" x14ac:dyDescent="0.3">
      <c r="B36" s="435"/>
      <c r="C36" s="34"/>
      <c r="D36" s="436"/>
      <c r="E36" s="40" t="s">
        <v>82</v>
      </c>
      <c r="F36" s="37"/>
      <c r="G36" s="38"/>
      <c r="H36" s="108">
        <v>0</v>
      </c>
      <c r="I36" s="108">
        <v>0</v>
      </c>
      <c r="J36" s="108">
        <v>0</v>
      </c>
      <c r="K36" s="108">
        <v>0</v>
      </c>
      <c r="N36" s="33"/>
      <c r="O36" s="43"/>
    </row>
    <row r="37" spans="2:16" s="31" customFormat="1" ht="15" customHeight="1" thickBot="1" x14ac:dyDescent="0.3">
      <c r="B37" s="435"/>
      <c r="C37" s="34"/>
      <c r="D37" s="438"/>
      <c r="E37" s="40" t="s">
        <v>83</v>
      </c>
      <c r="F37" s="37"/>
      <c r="G37" s="38"/>
      <c r="H37" s="110"/>
      <c r="I37" s="110"/>
      <c r="J37" s="110"/>
      <c r="K37" s="108">
        <v>0</v>
      </c>
      <c r="N37" s="33"/>
      <c r="O37" s="43"/>
    </row>
    <row r="38" spans="2:16" s="31" customFormat="1" ht="15" customHeight="1" thickBot="1" x14ac:dyDescent="0.3">
      <c r="B38" s="435"/>
      <c r="C38" s="34"/>
      <c r="D38" s="102"/>
      <c r="E38" s="103" t="s">
        <v>34</v>
      </c>
      <c r="F38" s="104"/>
      <c r="G38" s="104"/>
      <c r="H38" s="111">
        <f>SUM(H31:H37)</f>
        <v>0</v>
      </c>
      <c r="I38" s="111">
        <f t="shared" ref="I38:K38" si="4">SUM(I31:I37)</f>
        <v>0</v>
      </c>
      <c r="J38" s="111">
        <f t="shared" si="4"/>
        <v>0</v>
      </c>
      <c r="K38" s="111">
        <f t="shared" si="4"/>
        <v>0</v>
      </c>
      <c r="N38" s="33"/>
      <c r="O38" s="43"/>
    </row>
    <row r="39" spans="2:16" s="31" customFormat="1" ht="15" customHeight="1" thickBot="1" x14ac:dyDescent="0.3">
      <c r="B39" s="435"/>
      <c r="C39" s="34"/>
      <c r="D39" s="105" t="s">
        <v>35</v>
      </c>
      <c r="E39" s="40" t="s">
        <v>84</v>
      </c>
      <c r="F39" s="37"/>
      <c r="G39" s="38"/>
      <c r="H39" s="108">
        <v>153.32383387805268</v>
      </c>
      <c r="I39" s="108">
        <v>153.32383387805268</v>
      </c>
      <c r="J39" s="108">
        <v>153.32383387805268</v>
      </c>
      <c r="K39" s="108">
        <v>153.32383387805268</v>
      </c>
      <c r="N39" s="33"/>
      <c r="O39" s="43"/>
    </row>
    <row r="40" spans="2:16" s="31" customFormat="1" ht="15" customHeight="1" thickBot="1" x14ac:dyDescent="0.3">
      <c r="B40" s="435"/>
      <c r="C40" s="34"/>
      <c r="D40" s="102"/>
      <c r="E40" s="103" t="s">
        <v>85</v>
      </c>
      <c r="F40" s="104"/>
      <c r="G40" s="104"/>
      <c r="H40" s="111">
        <f>H39</f>
        <v>153.32383387805268</v>
      </c>
      <c r="I40" s="111">
        <f t="shared" ref="I40:K40" si="5">I39</f>
        <v>153.32383387805268</v>
      </c>
      <c r="J40" s="111">
        <f t="shared" si="5"/>
        <v>153.32383387805268</v>
      </c>
      <c r="K40" s="111">
        <f t="shared" si="5"/>
        <v>153.32383387805268</v>
      </c>
      <c r="N40" s="33"/>
      <c r="O40" s="43"/>
    </row>
    <row r="41" spans="2:16" s="31" customFormat="1" ht="15" customHeight="1" thickBot="1" x14ac:dyDescent="0.3">
      <c r="B41" s="435"/>
      <c r="C41" s="34"/>
      <c r="D41" s="105" t="s">
        <v>36</v>
      </c>
      <c r="E41" s="40" t="s">
        <v>37</v>
      </c>
      <c r="F41" s="37"/>
      <c r="G41" s="38"/>
      <c r="H41" s="108">
        <v>228</v>
      </c>
      <c r="I41" s="108">
        <v>7</v>
      </c>
      <c r="J41" s="108">
        <v>-165</v>
      </c>
      <c r="K41" s="108">
        <v>-291</v>
      </c>
      <c r="N41" s="33"/>
      <c r="O41" s="43"/>
    </row>
    <row r="42" spans="2:16" s="31" customFormat="1" ht="15" customHeight="1" thickBot="1" x14ac:dyDescent="0.3">
      <c r="B42" s="435"/>
      <c r="C42" s="34"/>
      <c r="D42" s="102"/>
      <c r="E42" s="103" t="s">
        <v>38</v>
      </c>
      <c r="F42" s="104"/>
      <c r="G42" s="104"/>
      <c r="H42" s="111">
        <f>H41</f>
        <v>228</v>
      </c>
      <c r="I42" s="111">
        <f t="shared" ref="I42:K42" si="6">I41</f>
        <v>7</v>
      </c>
      <c r="J42" s="111">
        <f t="shared" si="6"/>
        <v>-165</v>
      </c>
      <c r="K42" s="111">
        <f t="shared" si="6"/>
        <v>-291</v>
      </c>
      <c r="N42" s="33"/>
      <c r="O42" s="43"/>
    </row>
    <row r="43" spans="2:16" s="31" customFormat="1" ht="15" customHeight="1" thickBot="1" x14ac:dyDescent="0.3">
      <c r="B43" s="435"/>
      <c r="C43" s="34"/>
      <c r="D43" s="34"/>
      <c r="E43" s="106"/>
      <c r="F43" s="41"/>
      <c r="G43" s="64"/>
      <c r="H43" s="64"/>
      <c r="I43" s="64"/>
      <c r="J43" s="64"/>
      <c r="K43" s="64"/>
      <c r="N43" s="33"/>
      <c r="O43" s="43"/>
    </row>
    <row r="44" spans="2:16" s="31" customFormat="1" ht="16.5" customHeight="1" thickBot="1" x14ac:dyDescent="0.3">
      <c r="B44" s="435"/>
      <c r="C44" s="34"/>
      <c r="D44" s="34"/>
      <c r="E44" s="44" t="s">
        <v>46</v>
      </c>
      <c r="F44" s="45"/>
      <c r="G44" s="46"/>
      <c r="H44" s="46">
        <f>H25-H30+H38+H40-H42</f>
        <v>14057.779288171543</v>
      </c>
      <c r="I44" s="46">
        <f>I25-I30+I38+I40-I42</f>
        <v>14235.769443758607</v>
      </c>
      <c r="J44" s="46">
        <f t="shared" ref="J44:K44" si="7">J25-J30+J38+J40-J42</f>
        <v>14706.57142639105</v>
      </c>
      <c r="K44" s="46">
        <f t="shared" si="7"/>
        <v>15093.406374434591</v>
      </c>
      <c r="L44" s="45" t="s">
        <v>45</v>
      </c>
      <c r="M44" s="113"/>
      <c r="N44" s="113"/>
      <c r="O44" s="113"/>
      <c r="P44" s="113"/>
    </row>
    <row r="45" spans="2:16" s="31" customFormat="1" ht="16.5" customHeight="1" thickBot="1" x14ac:dyDescent="0.3">
      <c r="B45" s="435"/>
      <c r="C45" s="34"/>
      <c r="D45" s="34"/>
      <c r="E45" s="126" t="s">
        <v>91</v>
      </c>
      <c r="F45" s="127"/>
      <c r="G45" s="127"/>
      <c r="H45" s="128">
        <f>SUM(H10:H23)-H30+H40-H42</f>
        <v>14099.068591896697</v>
      </c>
      <c r="I45" s="128">
        <f>SUM(I10:I23)-I30+I40-I42</f>
        <v>14423.329327813894</v>
      </c>
      <c r="J45" s="128">
        <f>SUM(J10:J23)-J30+J40-J42</f>
        <v>14673.218737083236</v>
      </c>
      <c r="K45" s="128">
        <f>SUM(K10:K23)-K30+K40-K42</f>
        <v>14889.903885567437</v>
      </c>
      <c r="L45" s="129">
        <f>NPV($I$2,H45:K45)*(1+$I$2)</f>
        <v>56623.693173555628</v>
      </c>
      <c r="M45" s="33"/>
      <c r="N45" s="33"/>
      <c r="O45" s="43"/>
    </row>
    <row r="46" spans="2:16" s="31" customFormat="1" ht="10.5" customHeight="1" thickBot="1" x14ac:dyDescent="0.3">
      <c r="B46" s="435"/>
      <c r="C46" s="34"/>
      <c r="D46" s="34"/>
      <c r="E46" s="119"/>
      <c r="F46" s="33"/>
      <c r="G46" s="33"/>
      <c r="H46" s="120"/>
      <c r="I46" s="120"/>
      <c r="J46" s="120"/>
      <c r="K46" s="120"/>
      <c r="L46" s="125"/>
      <c r="M46" s="33"/>
      <c r="N46" s="33"/>
      <c r="O46" s="43"/>
    </row>
    <row r="47" spans="2:16" s="31" customFormat="1" ht="18" customHeight="1" thickBot="1" x14ac:dyDescent="0.3">
      <c r="B47" s="435"/>
      <c r="C47" s="34"/>
      <c r="D47" s="34"/>
      <c r="E47" s="23" t="s">
        <v>47</v>
      </c>
      <c r="F47" s="24"/>
      <c r="G47" s="24">
        <v>2020</v>
      </c>
      <c r="H47" s="24">
        <v>2021</v>
      </c>
      <c r="I47" s="24">
        <v>2022</v>
      </c>
      <c r="J47" s="24">
        <v>2023</v>
      </c>
      <c r="K47" s="24">
        <v>2024</v>
      </c>
      <c r="L47" s="24">
        <v>2025</v>
      </c>
      <c r="M47" s="43"/>
    </row>
    <row r="48" spans="2:16" s="31" customFormat="1" ht="17.25" customHeight="1" thickBot="1" x14ac:dyDescent="0.3">
      <c r="B48" s="435"/>
      <c r="C48" s="34"/>
      <c r="D48" s="34"/>
      <c r="E48" s="104" t="s">
        <v>88</v>
      </c>
      <c r="F48" s="104"/>
      <c r="G48" s="104"/>
      <c r="H48" s="111">
        <v>14004.524018902073</v>
      </c>
      <c r="I48" s="111">
        <v>14030.284317333115</v>
      </c>
      <c r="J48" s="111">
        <v>14294.648550917938</v>
      </c>
      <c r="K48" s="111">
        <v>14434.109693732964</v>
      </c>
      <c r="L48" s="111">
        <v>14434.109693732964</v>
      </c>
      <c r="M48" s="50"/>
    </row>
    <row r="49" spans="2:14" s="31" customFormat="1" ht="17.25" customHeight="1" thickBot="1" x14ac:dyDescent="0.3">
      <c r="B49" s="435"/>
      <c r="C49" s="34"/>
      <c r="D49" s="34"/>
      <c r="E49" s="115" t="s">
        <v>86</v>
      </c>
      <c r="F49" s="114"/>
      <c r="G49" s="48"/>
      <c r="H49" s="116">
        <f>7/12*H48</f>
        <v>8169.305677692877</v>
      </c>
      <c r="I49" s="116">
        <f t="shared" ref="I49:L49" si="8">7/12*I48</f>
        <v>8184.3325184443174</v>
      </c>
      <c r="J49" s="116">
        <f t="shared" si="8"/>
        <v>8338.5449880354645</v>
      </c>
      <c r="K49" s="116">
        <f t="shared" si="8"/>
        <v>8419.8973213442296</v>
      </c>
      <c r="L49" s="116">
        <f t="shared" si="8"/>
        <v>8419.8973213442296</v>
      </c>
      <c r="M49" s="50"/>
    </row>
    <row r="50" spans="2:14" s="31" customFormat="1" ht="17.25" customHeight="1" thickBot="1" x14ac:dyDescent="0.3">
      <c r="B50" s="435"/>
      <c r="C50" s="34"/>
      <c r="D50" s="34"/>
      <c r="E50" s="115" t="s">
        <v>87</v>
      </c>
      <c r="F50" s="51"/>
      <c r="G50" s="52"/>
      <c r="H50" s="117">
        <f>5/12*H48</f>
        <v>5835.2183412091972</v>
      </c>
      <c r="I50" s="117">
        <f t="shared" ref="I50:K50" si="9">5/12*I48</f>
        <v>5845.9517988887983</v>
      </c>
      <c r="J50" s="117">
        <f t="shared" si="9"/>
        <v>5956.1035628824748</v>
      </c>
      <c r="K50" s="117">
        <f t="shared" si="9"/>
        <v>6014.2123723887353</v>
      </c>
      <c r="L50" s="117">
        <f t="shared" ref="L50" si="10">5/12*L48</f>
        <v>6014.2123723887353</v>
      </c>
      <c r="M50" s="54"/>
    </row>
    <row r="51" spans="2:14" s="31" customFormat="1" ht="17.25" customHeight="1" thickBot="1" x14ac:dyDescent="0.3">
      <c r="B51" s="435"/>
      <c r="C51" s="34"/>
      <c r="D51" s="34"/>
      <c r="E51" s="55" t="s">
        <v>23</v>
      </c>
      <c r="F51" s="56">
        <v>3.1265255480451902E-3</v>
      </c>
      <c r="G51" s="57"/>
      <c r="H51" s="57"/>
      <c r="I51" s="57"/>
      <c r="J51" s="57"/>
      <c r="K51" s="58"/>
      <c r="L51" s="33"/>
      <c r="M51" s="43"/>
    </row>
    <row r="52" spans="2:14" s="31" customFormat="1" ht="17.25" customHeight="1" thickBot="1" x14ac:dyDescent="0.3">
      <c r="B52" s="435"/>
      <c r="C52" s="34"/>
      <c r="D52" s="34"/>
      <c r="E52" s="55" t="s">
        <v>90</v>
      </c>
      <c r="F52" s="118"/>
      <c r="G52" s="56"/>
      <c r="H52" s="56">
        <f>$F$51+H6</f>
        <v>9.1265255480451907E-3</v>
      </c>
      <c r="I52" s="56">
        <f>$F$51+I6</f>
        <v>1.3126525548045191E-2</v>
      </c>
      <c r="J52" s="56">
        <f>$F$51+J6</f>
        <v>1.5126525548045191E-2</v>
      </c>
      <c r="K52" s="56">
        <f>$F$51+K6</f>
        <v>1.812652554804519E-2</v>
      </c>
      <c r="L52" s="33"/>
      <c r="M52" s="43"/>
    </row>
    <row r="53" spans="2:14" s="31" customFormat="1" ht="17.25" customHeight="1" thickBot="1" x14ac:dyDescent="0.3">
      <c r="B53" s="435"/>
      <c r="C53" s="34"/>
      <c r="D53" s="34"/>
      <c r="E53" s="59" t="s">
        <v>89</v>
      </c>
      <c r="F53" s="60"/>
      <c r="G53" s="30">
        <v>1</v>
      </c>
      <c r="H53" s="30">
        <f>G53*(1+H52)</f>
        <v>1.0091265255480453</v>
      </c>
      <c r="I53" s="30">
        <f t="shared" ref="I53:K53" si="11">H53*(1+I52)</f>
        <v>1.0223728506668619</v>
      </c>
      <c r="J53" s="30">
        <f>I53*(1+J52)</f>
        <v>1.037837799712102</v>
      </c>
      <c r="K53" s="30">
        <f t="shared" si="11"/>
        <v>1.0566501931033103</v>
      </c>
      <c r="L53" s="42" t="s">
        <v>45</v>
      </c>
      <c r="M53" s="43"/>
    </row>
    <row r="54" spans="2:14" s="31" customFormat="1" ht="17.25" customHeight="1" thickBot="1" x14ac:dyDescent="0.3">
      <c r="B54" s="435"/>
      <c r="C54" s="34"/>
      <c r="D54" s="34"/>
      <c r="E54" s="104" t="s">
        <v>94</v>
      </c>
      <c r="F54" s="104"/>
      <c r="G54" s="104"/>
      <c r="H54" s="111">
        <f>H55+H56</f>
        <v>14057.779288171543</v>
      </c>
      <c r="I54" s="422">
        <f>I55+I56</f>
        <v>14235.769443758607</v>
      </c>
      <c r="J54" s="111">
        <f t="shared" ref="J54:K54" si="12">J55+J56</f>
        <v>14706.57142639105</v>
      </c>
      <c r="K54" s="111">
        <f t="shared" si="12"/>
        <v>15093.406374434591</v>
      </c>
      <c r="L54" s="130">
        <f>NPV($I$2,H54:K54)*(1+$I$2)</f>
        <v>56623.693164122662</v>
      </c>
      <c r="M54" s="33"/>
      <c r="N54" s="43"/>
    </row>
    <row r="55" spans="2:14" s="31" customFormat="1" ht="17.25" customHeight="1" thickBot="1" x14ac:dyDescent="0.3">
      <c r="B55" s="435"/>
      <c r="C55" s="34"/>
      <c r="D55" s="34"/>
      <c r="E55" s="115" t="s">
        <v>86</v>
      </c>
      <c r="F55" s="114"/>
      <c r="G55" s="48"/>
      <c r="H55" s="116">
        <f>G53*H49</f>
        <v>8169.305677692877</v>
      </c>
      <c r="I55" s="116">
        <f t="shared" ref="I55:K55" si="13">H53*I49</f>
        <v>8259.0270382675972</v>
      </c>
      <c r="J55" s="116">
        <f t="shared" si="13"/>
        <v>8525.1020098316912</v>
      </c>
      <c r="K55" s="116">
        <f t="shared" si="13"/>
        <v>8738.487709785717</v>
      </c>
      <c r="M55" s="33"/>
      <c r="N55" s="43"/>
    </row>
    <row r="56" spans="2:14" s="31" customFormat="1" ht="17.25" customHeight="1" thickBot="1" x14ac:dyDescent="0.3">
      <c r="B56" s="435"/>
      <c r="C56" s="34"/>
      <c r="D56" s="34"/>
      <c r="E56" s="115" t="s">
        <v>87</v>
      </c>
      <c r="F56" s="51"/>
      <c r="G56" s="52"/>
      <c r="H56" s="117">
        <f>H53*H50</f>
        <v>5888.4736104786653</v>
      </c>
      <c r="I56" s="117">
        <f>I53*I50</f>
        <v>5976.7424054910098</v>
      </c>
      <c r="J56" s="117">
        <f t="shared" ref="J56:K56" si="14">J53*J50</f>
        <v>6181.4694165593592</v>
      </c>
      <c r="K56" s="117">
        <f t="shared" si="14"/>
        <v>6354.9186646488752</v>
      </c>
      <c r="M56" s="33"/>
      <c r="N56" s="43"/>
    </row>
    <row r="57" spans="2:14" s="31" customFormat="1" ht="17.25" customHeight="1" thickBot="1" x14ac:dyDescent="0.3">
      <c r="B57" s="435"/>
      <c r="C57" s="34"/>
      <c r="D57" s="34"/>
      <c r="E57" s="55" t="s">
        <v>48</v>
      </c>
      <c r="F57" s="61"/>
      <c r="G57" s="62"/>
      <c r="H57" s="63">
        <f>H54-H45</f>
        <v>-41.289303725154241</v>
      </c>
      <c r="I57" s="63">
        <f t="shared" ref="I57:K57" si="15">I54-I45</f>
        <v>-187.5598840552866</v>
      </c>
      <c r="J57" s="63">
        <f t="shared" si="15"/>
        <v>33.352689307814217</v>
      </c>
      <c r="K57" s="63">
        <f t="shared" si="15"/>
        <v>203.50248886715417</v>
      </c>
      <c r="L57" s="63">
        <f>NPV($I$2,H57:K57)*(1+$I$2)</f>
        <v>-9.4329670048409753E-6</v>
      </c>
      <c r="M57" s="33"/>
      <c r="N57" s="43"/>
    </row>
  </sheetData>
  <mergeCells count="7">
    <mergeCell ref="F2:H2"/>
    <mergeCell ref="B5:B7"/>
    <mergeCell ref="B9:B57"/>
    <mergeCell ref="D10:D24"/>
    <mergeCell ref="D26:D29"/>
    <mergeCell ref="D31:D37"/>
    <mergeCell ref="F3:H3"/>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EB2D-AF22-4A5A-83F7-45150D4F67A7}">
  <sheetPr>
    <tabColor theme="9"/>
  </sheetPr>
  <dimension ref="B1:T81"/>
  <sheetViews>
    <sheetView workbookViewId="0">
      <selection activeCell="B7" sqref="B7:H7"/>
    </sheetView>
  </sheetViews>
  <sheetFormatPr baseColWidth="10" defaultColWidth="11.5703125" defaultRowHeight="13.5" x14ac:dyDescent="0.25"/>
  <cols>
    <col min="1" max="1" width="3.42578125" style="66" customWidth="1"/>
    <col min="2" max="2" width="57.28515625" style="3" customWidth="1"/>
    <col min="3" max="4" width="11.42578125" style="3" customWidth="1"/>
    <col min="5" max="8" width="11" style="3" customWidth="1"/>
    <col min="9" max="11" width="11.5703125" style="3"/>
    <col min="12" max="12" width="46.5703125" style="66" customWidth="1"/>
    <col min="13" max="20" width="11.42578125" style="3" customWidth="1"/>
    <col min="21" max="16384" width="11.5703125" style="66"/>
  </cols>
  <sheetData>
    <row r="1" spans="2:18" ht="21" customHeight="1" x14ac:dyDescent="0.25">
      <c r="B1" s="439" t="s">
        <v>13</v>
      </c>
      <c r="C1" s="439"/>
      <c r="D1" s="439"/>
    </row>
    <row r="2" spans="2:18" ht="25.5" customHeight="1" thickBot="1" x14ac:dyDescent="0.3">
      <c r="B2" s="1" t="s">
        <v>50</v>
      </c>
      <c r="C2" s="1"/>
    </row>
    <row r="3" spans="2:18" ht="42.6" customHeight="1" thickBot="1" x14ac:dyDescent="0.3">
      <c r="J3" s="440" t="s">
        <v>51</v>
      </c>
      <c r="K3" s="441"/>
      <c r="L3" s="67" t="s">
        <v>52</v>
      </c>
    </row>
    <row r="4" spans="2:18" ht="28.5" customHeight="1" thickBot="1" x14ac:dyDescent="0.3">
      <c r="B4" s="68" t="s">
        <v>53</v>
      </c>
      <c r="C4" s="4"/>
      <c r="D4" s="4"/>
      <c r="E4" s="4">
        <v>2021</v>
      </c>
      <c r="F4" s="4">
        <v>2022</v>
      </c>
      <c r="G4" s="68">
        <v>2023</v>
      </c>
      <c r="H4" s="4">
        <v>2024</v>
      </c>
      <c r="I4" s="2"/>
      <c r="J4" s="442"/>
      <c r="K4" s="443"/>
      <c r="L4" s="69">
        <v>1763852</v>
      </c>
      <c r="M4" s="70"/>
    </row>
    <row r="5" spans="2:18" ht="14.25" customHeight="1" thickBot="1" x14ac:dyDescent="0.3">
      <c r="B5" s="444" t="s">
        <v>54</v>
      </c>
      <c r="C5" s="445"/>
      <c r="D5" s="445"/>
      <c r="E5" s="445"/>
      <c r="F5" s="445"/>
      <c r="G5" s="445"/>
      <c r="H5" s="446"/>
      <c r="J5" s="5" t="s">
        <v>55</v>
      </c>
      <c r="K5" s="5" t="s">
        <v>56</v>
      </c>
      <c r="L5" s="71" t="s">
        <v>57</v>
      </c>
    </row>
    <row r="6" spans="2:18" ht="14.25" customHeight="1" thickBot="1" x14ac:dyDescent="0.3">
      <c r="B6" s="72" t="s">
        <v>58</v>
      </c>
      <c r="C6" s="72"/>
      <c r="D6" s="73"/>
      <c r="E6" s="99">
        <v>1.4999999999999902E-2</v>
      </c>
      <c r="F6" s="101">
        <v>1.4999999999999999E-2</v>
      </c>
      <c r="G6" s="91">
        <v>4.2000000000000003E-2</v>
      </c>
      <c r="H6" s="88">
        <v>1.7999999999999999E-2</v>
      </c>
      <c r="J6" s="74">
        <v>2024</v>
      </c>
      <c r="K6" s="5">
        <v>12</v>
      </c>
      <c r="L6" s="85">
        <f>G$8*(1+'Equilibre prévisionnel'!$K$6)</f>
        <v>114.04110316666663</v>
      </c>
    </row>
    <row r="7" spans="2:18" ht="14.25" customHeight="1" thickBot="1" x14ac:dyDescent="0.3">
      <c r="B7" s="444" t="s">
        <v>59</v>
      </c>
      <c r="C7" s="445"/>
      <c r="D7" s="445"/>
      <c r="E7" s="445"/>
      <c r="F7" s="445"/>
      <c r="G7" s="445"/>
      <c r="H7" s="446"/>
      <c r="J7" s="74">
        <v>2024</v>
      </c>
      <c r="K7" s="5">
        <v>11</v>
      </c>
      <c r="L7" s="85">
        <f>G$8*(1+'Equilibre prévisionnel'!$K$6)</f>
        <v>114.04110316666663</v>
      </c>
    </row>
    <row r="8" spans="2:18" ht="14.25" customHeight="1" thickBot="1" x14ac:dyDescent="0.3">
      <c r="B8" s="75" t="s">
        <v>63</v>
      </c>
      <c r="C8" s="96">
        <f>AVERAGE(L66:L77)</f>
        <v>103.76833333333333</v>
      </c>
      <c r="D8" s="76">
        <f>AVERAGE(L54:L65)</f>
        <v>103.98333333333333</v>
      </c>
      <c r="E8" s="98">
        <f>AVERAGE(L42:L53)</f>
        <v>105.59916666666668</v>
      </c>
      <c r="F8" s="93">
        <f>AVERAGE(L30:L41)</f>
        <v>111.24333333333334</v>
      </c>
      <c r="G8" s="90">
        <f>AVERAGE(L18:L29)</f>
        <v>112.35576666666664</v>
      </c>
      <c r="H8" s="87">
        <f>AVERAGE(L6:L17)</f>
        <v>114.04110316666667</v>
      </c>
      <c r="J8" s="74">
        <v>2024</v>
      </c>
      <c r="K8" s="5">
        <v>10</v>
      </c>
      <c r="L8" s="85">
        <f>G$8*(1+'Equilibre prévisionnel'!$K$6)</f>
        <v>114.04110316666663</v>
      </c>
    </row>
    <row r="9" spans="2:18" ht="14.25" customHeight="1" thickBot="1" x14ac:dyDescent="0.3">
      <c r="B9" s="72" t="s">
        <v>60</v>
      </c>
      <c r="C9" s="72"/>
      <c r="D9" s="97">
        <f>D8/C8-1</f>
        <v>2.0719230336807559E-3</v>
      </c>
      <c r="E9" s="99">
        <f>E8/D8-1</f>
        <v>1.5539349254688251E-2</v>
      </c>
      <c r="F9" s="101">
        <f>F8/E8-1</f>
        <v>5.3448969767753818E-2</v>
      </c>
      <c r="G9" s="91">
        <v>1.2E-2</v>
      </c>
      <c r="H9" s="88">
        <v>1.4999999999999999E-2</v>
      </c>
      <c r="J9" s="74">
        <v>2024</v>
      </c>
      <c r="K9" s="5">
        <v>9</v>
      </c>
      <c r="L9" s="85">
        <f>G$8*(1+'Equilibre prévisionnel'!$K$6)</f>
        <v>114.04110316666663</v>
      </c>
    </row>
    <row r="10" spans="2:18" ht="14.25" customHeight="1" thickBot="1" x14ac:dyDescent="0.3">
      <c r="B10" s="77" t="s">
        <v>61</v>
      </c>
      <c r="C10" s="78">
        <v>1</v>
      </c>
      <c r="D10" s="100">
        <f>C10*(1+D9)</f>
        <v>1.0020719230336808</v>
      </c>
      <c r="E10" s="95">
        <f>D10*(1+E9)</f>
        <v>1.0176434686240181</v>
      </c>
      <c r="F10" s="94">
        <f>E10*(1+F9)</f>
        <v>1.0720354636128553</v>
      </c>
      <c r="G10" s="92">
        <f>F10*(1+G9)</f>
        <v>1.0848998891762096</v>
      </c>
      <c r="H10" s="89">
        <f>G10*(1+H9)</f>
        <v>1.1011733875138527</v>
      </c>
      <c r="J10" s="74">
        <v>2024</v>
      </c>
      <c r="K10" s="5">
        <v>8</v>
      </c>
      <c r="L10" s="85">
        <f>G$8*(1+'Equilibre prévisionnel'!$K$6)</f>
        <v>114.04110316666663</v>
      </c>
    </row>
    <row r="11" spans="2:18" ht="14.25" customHeight="1" thickBot="1" x14ac:dyDescent="0.3">
      <c r="J11" s="74">
        <v>2024</v>
      </c>
      <c r="K11" s="5">
        <v>7</v>
      </c>
      <c r="L11" s="85">
        <f>G$8*(1+'Equilibre prévisionnel'!$K$6)</f>
        <v>114.04110316666663</v>
      </c>
    </row>
    <row r="12" spans="2:18" ht="14.25" customHeight="1" thickBot="1" x14ac:dyDescent="0.3">
      <c r="B12" s="79" t="s">
        <v>62</v>
      </c>
      <c r="C12" s="79"/>
      <c r="J12" s="74">
        <v>2024</v>
      </c>
      <c r="K12" s="5">
        <v>6</v>
      </c>
      <c r="L12" s="85">
        <f>G$8*(1+'Equilibre prévisionnel'!$K$6)</f>
        <v>114.04110316666663</v>
      </c>
      <c r="R12" s="80"/>
    </row>
    <row r="13" spans="2:18" ht="14.25" customHeight="1" thickBot="1" x14ac:dyDescent="0.3">
      <c r="B13" s="2" t="s">
        <v>16</v>
      </c>
      <c r="C13" s="2"/>
      <c r="J13" s="74">
        <v>2024</v>
      </c>
      <c r="K13" s="5">
        <v>5</v>
      </c>
      <c r="L13" s="85">
        <f>G$8*(1+'Equilibre prévisionnel'!$K$6)</f>
        <v>114.04110316666663</v>
      </c>
      <c r="R13" s="80"/>
    </row>
    <row r="14" spans="2:18" ht="14.25" customHeight="1" thickBot="1" x14ac:dyDescent="0.3">
      <c r="J14" s="74">
        <v>2024</v>
      </c>
      <c r="K14" s="5">
        <v>4</v>
      </c>
      <c r="L14" s="85">
        <f>G$8*(1+'Equilibre prévisionnel'!$K$6)</f>
        <v>114.04110316666663</v>
      </c>
      <c r="R14" s="80"/>
    </row>
    <row r="15" spans="2:18" ht="14.25" customHeight="1" thickBot="1" x14ac:dyDescent="0.45">
      <c r="B15" s="81"/>
      <c r="C15" s="81"/>
      <c r="J15" s="74">
        <v>2024</v>
      </c>
      <c r="K15" s="5">
        <v>3</v>
      </c>
      <c r="L15" s="85">
        <f>G$8*(1+'Equilibre prévisionnel'!$K$6)</f>
        <v>114.04110316666663</v>
      </c>
      <c r="R15" s="80"/>
    </row>
    <row r="16" spans="2:18" ht="14.25" customHeight="1" thickBot="1" x14ac:dyDescent="0.3">
      <c r="B16" s="68"/>
      <c r="C16" s="4"/>
      <c r="D16" s="4"/>
      <c r="E16" s="68">
        <v>2021</v>
      </c>
      <c r="F16" s="4">
        <v>2022</v>
      </c>
      <c r="G16" s="68">
        <v>2023</v>
      </c>
      <c r="H16" s="4">
        <v>2024</v>
      </c>
      <c r="J16" s="74">
        <v>2024</v>
      </c>
      <c r="K16" s="5">
        <v>2</v>
      </c>
      <c r="L16" s="85">
        <f>G$8*(1+'Equilibre prévisionnel'!$K$6)</f>
        <v>114.04110316666663</v>
      </c>
      <c r="R16" s="80"/>
    </row>
    <row r="17" spans="2:18" ht="14.25" customHeight="1" thickBot="1" x14ac:dyDescent="0.3">
      <c r="B17" s="72" t="s">
        <v>407</v>
      </c>
      <c r="C17" s="72"/>
      <c r="D17" s="73"/>
      <c r="E17" s="73"/>
      <c r="F17" s="97">
        <f>(1%+0.49%)</f>
        <v>1.49E-2</v>
      </c>
      <c r="G17" s="97">
        <f>(1.2%+0.49%)</f>
        <v>1.6899999999999998E-2</v>
      </c>
      <c r="H17" s="97">
        <f>(1.5%+0.49%)</f>
        <v>1.9900000000000001E-2</v>
      </c>
      <c r="J17" s="5">
        <v>2024</v>
      </c>
      <c r="K17" s="5">
        <v>1</v>
      </c>
      <c r="L17" s="85">
        <f>G$8*(1+'Equilibre prévisionnel'!$K$6)</f>
        <v>114.04110316666663</v>
      </c>
      <c r="R17" s="80"/>
    </row>
    <row r="18" spans="2:18" ht="14.25" customHeight="1" thickBot="1" x14ac:dyDescent="0.3">
      <c r="B18" s="399" t="s">
        <v>409</v>
      </c>
      <c r="C18" s="72"/>
      <c r="D18" s="73"/>
      <c r="E18" s="400">
        <v>1</v>
      </c>
      <c r="F18" s="400">
        <f>E18*(1+F17)</f>
        <v>1.0148999999999999</v>
      </c>
      <c r="G18" s="400">
        <f>F18*(1+G17)</f>
        <v>1.0320518099999998</v>
      </c>
      <c r="H18" s="400">
        <f t="shared" ref="H18" si="0">G18*(1+H17)</f>
        <v>1.0525896410189999</v>
      </c>
      <c r="J18" s="74">
        <v>2023</v>
      </c>
      <c r="K18" s="5">
        <v>12</v>
      </c>
      <c r="L18" s="84">
        <f>F$8*(1+'Equilibre prévisionnel'!$I$6)</f>
        <v>112.35576666666667</v>
      </c>
      <c r="R18" s="80"/>
    </row>
    <row r="19" spans="2:18" ht="14.25" customHeight="1" thickBot="1" x14ac:dyDescent="0.3">
      <c r="B19" s="72" t="s">
        <v>408</v>
      </c>
      <c r="C19" s="72"/>
      <c r="D19" s="73"/>
      <c r="E19" s="73"/>
      <c r="F19" s="97">
        <f>(F6+0.49%-2%)</f>
        <v>-9.9999999999999395E-5</v>
      </c>
      <c r="G19" s="97">
        <f>(G6+0.49%)</f>
        <v>4.6900000000000004E-2</v>
      </c>
      <c r="H19" s="97">
        <f>(H6+0.49%)</f>
        <v>2.2899999999999997E-2</v>
      </c>
      <c r="J19" s="74">
        <v>2023</v>
      </c>
      <c r="K19" s="5">
        <v>11</v>
      </c>
      <c r="L19" s="84">
        <f>F$8*(1+'Equilibre prévisionnel'!$I$6)</f>
        <v>112.35576666666667</v>
      </c>
      <c r="R19" s="80"/>
    </row>
    <row r="20" spans="2:18" ht="14.25" customHeight="1" thickBot="1" x14ac:dyDescent="0.3">
      <c r="B20" s="399" t="s">
        <v>410</v>
      </c>
      <c r="C20" s="72"/>
      <c r="D20" s="73"/>
      <c r="E20" s="400">
        <v>1</v>
      </c>
      <c r="F20" s="400">
        <f>E20*(1+F19)</f>
        <v>0.99990000000000001</v>
      </c>
      <c r="G20" s="400">
        <f t="shared" ref="G20:H20" si="1">F20*(1+G19)</f>
        <v>1.04679531</v>
      </c>
      <c r="H20" s="400">
        <f t="shared" si="1"/>
        <v>1.070766922599</v>
      </c>
      <c r="J20" s="74">
        <v>2023</v>
      </c>
      <c r="K20" s="5">
        <v>10</v>
      </c>
      <c r="L20" s="84">
        <f>F$8*(1+'Equilibre prévisionnel'!$I$6)</f>
        <v>112.35576666666667</v>
      </c>
      <c r="R20" s="80"/>
    </row>
    <row r="21" spans="2:18" ht="14.25" customHeight="1" thickBot="1" x14ac:dyDescent="0.3">
      <c r="J21" s="74">
        <v>2023</v>
      </c>
      <c r="K21" s="5">
        <v>9</v>
      </c>
      <c r="L21" s="84">
        <f>F$8*(1+'Equilibre prévisionnel'!$I$6)</f>
        <v>112.35576666666667</v>
      </c>
      <c r="R21" s="80"/>
    </row>
    <row r="22" spans="2:18" ht="14.25" customHeight="1" thickBot="1" x14ac:dyDescent="0.3">
      <c r="J22" s="74">
        <v>2023</v>
      </c>
      <c r="K22" s="5">
        <v>8</v>
      </c>
      <c r="L22" s="84">
        <f>F$8*(1+'Equilibre prévisionnel'!$I$6)</f>
        <v>112.35576666666667</v>
      </c>
      <c r="R22" s="80"/>
    </row>
    <row r="23" spans="2:18" ht="14.25" customHeight="1" thickBot="1" x14ac:dyDescent="0.3">
      <c r="J23" s="74">
        <v>2023</v>
      </c>
      <c r="K23" s="5">
        <v>7</v>
      </c>
      <c r="L23" s="84">
        <f>F$8*(1+'Equilibre prévisionnel'!$I$6)</f>
        <v>112.35576666666667</v>
      </c>
      <c r="M23" s="82"/>
      <c r="R23" s="80"/>
    </row>
    <row r="24" spans="2:18" ht="14.25" customHeight="1" thickBot="1" x14ac:dyDescent="0.3">
      <c r="J24" s="74">
        <v>2023</v>
      </c>
      <c r="K24" s="5">
        <v>6</v>
      </c>
      <c r="L24" s="84">
        <f>F$8*(1+'Equilibre prévisionnel'!$I$6)</f>
        <v>112.35576666666667</v>
      </c>
      <c r="R24" s="80"/>
    </row>
    <row r="25" spans="2:18" ht="14.25" customHeight="1" thickBot="1" x14ac:dyDescent="0.3">
      <c r="J25" s="74">
        <v>2023</v>
      </c>
      <c r="K25" s="5">
        <v>5</v>
      </c>
      <c r="L25" s="84">
        <f>F$8*(1+'Equilibre prévisionnel'!$I$6)</f>
        <v>112.35576666666667</v>
      </c>
      <c r="R25" s="80"/>
    </row>
    <row r="26" spans="2:18" ht="14.25" customHeight="1" thickBot="1" x14ac:dyDescent="0.3">
      <c r="J26" s="74">
        <v>2023</v>
      </c>
      <c r="K26" s="5">
        <v>4</v>
      </c>
      <c r="L26" s="84">
        <f>F$8*(1+'Equilibre prévisionnel'!$I$6)</f>
        <v>112.35576666666667</v>
      </c>
    </row>
    <row r="27" spans="2:18" ht="14.25" customHeight="1" thickBot="1" x14ac:dyDescent="0.3">
      <c r="J27" s="74">
        <v>2023</v>
      </c>
      <c r="K27" s="5">
        <v>3</v>
      </c>
      <c r="L27" s="84">
        <f>F$8*(1+'Equilibre prévisionnel'!$I$6)</f>
        <v>112.35576666666667</v>
      </c>
    </row>
    <row r="28" spans="2:18" ht="14.25" customHeight="1" thickBot="1" x14ac:dyDescent="0.3">
      <c r="J28" s="74">
        <v>2023</v>
      </c>
      <c r="K28" s="5">
        <v>2</v>
      </c>
      <c r="L28" s="84">
        <f>F$8*(1+'Equilibre prévisionnel'!$I$6)</f>
        <v>112.35576666666667</v>
      </c>
    </row>
    <row r="29" spans="2:18" ht="14.25" customHeight="1" thickBot="1" x14ac:dyDescent="0.3">
      <c r="J29" s="5">
        <v>2023</v>
      </c>
      <c r="K29" s="5">
        <v>1</v>
      </c>
      <c r="L29" s="84">
        <f>F$8*(1+'Equilibre prévisionnel'!$I$6)</f>
        <v>112.35576666666667</v>
      </c>
    </row>
    <row r="30" spans="2:18" ht="14.25" customHeight="1" thickBot="1" x14ac:dyDescent="0.3">
      <c r="J30" s="74">
        <v>2022</v>
      </c>
      <c r="K30" s="5">
        <v>12</v>
      </c>
      <c r="L30" s="86">
        <v>113.42</v>
      </c>
      <c r="Q30" s="80"/>
    </row>
    <row r="31" spans="2:18" ht="14.25" customHeight="1" thickBot="1" x14ac:dyDescent="0.3">
      <c r="J31" s="74">
        <v>2022</v>
      </c>
      <c r="K31" s="5">
        <v>11</v>
      </c>
      <c r="L31" s="86">
        <v>113.53</v>
      </c>
      <c r="Q31" s="80"/>
    </row>
    <row r="32" spans="2:18" ht="14.25" customHeight="1" thickBot="1" x14ac:dyDescent="0.3">
      <c r="J32" s="74">
        <v>2022</v>
      </c>
      <c r="K32" s="5">
        <v>10</v>
      </c>
      <c r="L32" s="86">
        <v>113.16</v>
      </c>
      <c r="Q32" s="80"/>
    </row>
    <row r="33" spans="10:17" ht="14.25" customHeight="1" thickBot="1" x14ac:dyDescent="0.3">
      <c r="J33" s="74">
        <v>2022</v>
      </c>
      <c r="K33" s="5">
        <v>9</v>
      </c>
      <c r="L33" s="86">
        <v>111.99</v>
      </c>
      <c r="Q33" s="80"/>
    </row>
    <row r="34" spans="10:17" ht="14.25" customHeight="1" thickBot="1" x14ac:dyDescent="0.3">
      <c r="J34" s="74">
        <v>2022</v>
      </c>
      <c r="K34" s="5">
        <v>8</v>
      </c>
      <c r="L34" s="86">
        <v>112.63</v>
      </c>
      <c r="Q34" s="80"/>
    </row>
    <row r="35" spans="10:17" ht="14.25" customHeight="1" thickBot="1" x14ac:dyDescent="0.3">
      <c r="J35" s="74">
        <v>2022</v>
      </c>
      <c r="K35" s="5">
        <v>7</v>
      </c>
      <c r="L35" s="86">
        <v>112.11</v>
      </c>
      <c r="M35" s="82"/>
      <c r="Q35" s="80"/>
    </row>
    <row r="36" spans="10:17" ht="14.25" customHeight="1" thickBot="1" x14ac:dyDescent="0.3">
      <c r="J36" s="74">
        <v>2022</v>
      </c>
      <c r="K36" s="5">
        <v>6</v>
      </c>
      <c r="L36" s="86">
        <v>111.8</v>
      </c>
      <c r="Q36" s="80"/>
    </row>
    <row r="37" spans="10:17" ht="14.25" customHeight="1" thickBot="1" x14ac:dyDescent="0.3">
      <c r="J37" s="74">
        <v>2022</v>
      </c>
      <c r="K37" s="5">
        <v>5</v>
      </c>
      <c r="L37" s="86">
        <v>110.95</v>
      </c>
      <c r="Q37" s="80"/>
    </row>
    <row r="38" spans="10:17" ht="14.25" customHeight="1" thickBot="1" x14ac:dyDescent="0.3">
      <c r="J38" s="74">
        <v>2022</v>
      </c>
      <c r="K38" s="5">
        <v>4</v>
      </c>
      <c r="L38" s="86">
        <v>110.19</v>
      </c>
      <c r="Q38" s="80"/>
    </row>
    <row r="39" spans="10:17" ht="14.25" customHeight="1" thickBot="1" x14ac:dyDescent="0.3">
      <c r="J39" s="74">
        <v>2022</v>
      </c>
      <c r="K39" s="5">
        <v>3</v>
      </c>
      <c r="L39" s="86">
        <v>109.7</v>
      </c>
      <c r="Q39" s="80"/>
    </row>
    <row r="40" spans="10:17" ht="14.25" customHeight="1" thickBot="1" x14ac:dyDescent="0.3">
      <c r="J40" s="74">
        <v>2022</v>
      </c>
      <c r="K40" s="5">
        <v>2</v>
      </c>
      <c r="L40" s="86">
        <v>108.14</v>
      </c>
      <c r="Q40" s="80"/>
    </row>
    <row r="41" spans="10:17" ht="14.25" customHeight="1" thickBot="1" x14ac:dyDescent="0.3">
      <c r="J41" s="5">
        <v>2022</v>
      </c>
      <c r="K41" s="5">
        <v>1</v>
      </c>
      <c r="L41" s="86">
        <v>107.3</v>
      </c>
      <c r="Q41" s="80"/>
    </row>
    <row r="42" spans="10:17" ht="14.25" customHeight="1" thickBot="1" x14ac:dyDescent="0.3">
      <c r="J42" s="74">
        <v>2021</v>
      </c>
      <c r="K42" s="5">
        <v>12</v>
      </c>
      <c r="L42" s="86">
        <v>107.03</v>
      </c>
      <c r="Q42" s="83"/>
    </row>
    <row r="43" spans="10:17" ht="14.25" customHeight="1" thickBot="1" x14ac:dyDescent="0.3">
      <c r="J43" s="74">
        <v>2021</v>
      </c>
      <c r="K43" s="5">
        <v>11</v>
      </c>
      <c r="L43" s="86">
        <v>106.82</v>
      </c>
      <c r="Q43" s="83"/>
    </row>
    <row r="44" spans="10:17" ht="14.25" customHeight="1" thickBot="1" x14ac:dyDescent="0.3">
      <c r="J44" s="74">
        <v>2021</v>
      </c>
      <c r="K44" s="5">
        <v>10</v>
      </c>
      <c r="L44" s="86">
        <v>106.42</v>
      </c>
      <c r="Q44" s="83"/>
    </row>
    <row r="45" spans="10:17" ht="14.25" customHeight="1" thickBot="1" x14ac:dyDescent="0.3">
      <c r="J45" s="74">
        <v>2021</v>
      </c>
      <c r="K45" s="5">
        <v>9</v>
      </c>
      <c r="L45" s="86">
        <v>105.97</v>
      </c>
      <c r="Q45" s="83"/>
    </row>
    <row r="46" spans="10:17" ht="14.25" customHeight="1" thickBot="1" x14ac:dyDescent="0.3">
      <c r="J46" s="74">
        <v>2021</v>
      </c>
      <c r="K46" s="5">
        <v>8</v>
      </c>
      <c r="L46" s="86">
        <v>106.21</v>
      </c>
      <c r="M46" s="82"/>
      <c r="Q46" s="83"/>
    </row>
    <row r="47" spans="10:17" ht="14.25" customHeight="1" thickBot="1" x14ac:dyDescent="0.3">
      <c r="J47" s="74">
        <v>2021</v>
      </c>
      <c r="K47" s="5">
        <v>7</v>
      </c>
      <c r="L47" s="86">
        <v>105.55</v>
      </c>
      <c r="M47" s="82"/>
      <c r="Q47" s="83"/>
    </row>
    <row r="48" spans="10:17" ht="14.25" customHeight="1" thickBot="1" x14ac:dyDescent="0.3">
      <c r="J48" s="74">
        <v>2021</v>
      </c>
      <c r="K48" s="5">
        <v>6</v>
      </c>
      <c r="L48" s="86">
        <v>105.48</v>
      </c>
      <c r="M48" s="82"/>
      <c r="Q48" s="83"/>
    </row>
    <row r="49" spans="10:17" ht="14.25" customHeight="1" thickBot="1" x14ac:dyDescent="0.3">
      <c r="J49" s="74">
        <v>2021</v>
      </c>
      <c r="K49" s="5">
        <v>5</v>
      </c>
      <c r="L49" s="86">
        <v>105.34</v>
      </c>
      <c r="M49" s="82"/>
      <c r="Q49" s="83"/>
    </row>
    <row r="50" spans="10:17" ht="14.25" customHeight="1" thickBot="1" x14ac:dyDescent="0.3">
      <c r="J50" s="74">
        <v>2021</v>
      </c>
      <c r="K50" s="5">
        <v>4</v>
      </c>
      <c r="L50" s="86">
        <v>105</v>
      </c>
      <c r="M50" s="82"/>
      <c r="Q50" s="83"/>
    </row>
    <row r="51" spans="10:17" ht="14.25" customHeight="1" thickBot="1" x14ac:dyDescent="0.3">
      <c r="J51" s="74">
        <v>2021</v>
      </c>
      <c r="K51" s="5">
        <v>3</v>
      </c>
      <c r="L51" s="86">
        <v>104.89</v>
      </c>
      <c r="M51" s="82"/>
      <c r="Q51" s="83"/>
    </row>
    <row r="52" spans="10:17" ht="14.25" customHeight="1" thickBot="1" x14ac:dyDescent="0.3">
      <c r="J52" s="74">
        <v>2021</v>
      </c>
      <c r="K52" s="5">
        <v>2</v>
      </c>
      <c r="L52" s="86">
        <v>104.24</v>
      </c>
      <c r="M52" s="82"/>
      <c r="Q52" s="83"/>
    </row>
    <row r="53" spans="10:17" ht="14.25" customHeight="1" thickBot="1" x14ac:dyDescent="0.3">
      <c r="J53" s="5">
        <v>2021</v>
      </c>
      <c r="K53" s="5">
        <v>1</v>
      </c>
      <c r="L53" s="86">
        <v>104.24</v>
      </c>
      <c r="M53" s="82"/>
      <c r="Q53" s="83"/>
    </row>
    <row r="54" spans="10:17" ht="14.25" customHeight="1" thickBot="1" x14ac:dyDescent="0.3">
      <c r="J54" s="74">
        <v>2020</v>
      </c>
      <c r="K54" s="5">
        <v>12</v>
      </c>
      <c r="L54" s="86">
        <v>104.09</v>
      </c>
      <c r="M54" s="82"/>
    </row>
    <row r="55" spans="10:17" ht="14.25" customHeight="1" thickBot="1" x14ac:dyDescent="0.3">
      <c r="J55" s="74">
        <v>2020</v>
      </c>
      <c r="K55" s="5">
        <v>11</v>
      </c>
      <c r="L55" s="86">
        <v>103.86</v>
      </c>
      <c r="M55" s="82"/>
    </row>
    <row r="56" spans="10:17" ht="14.25" customHeight="1" thickBot="1" x14ac:dyDescent="0.3">
      <c r="J56" s="74">
        <v>2020</v>
      </c>
      <c r="K56" s="5">
        <v>10</v>
      </c>
      <c r="L56" s="86">
        <v>103.75</v>
      </c>
      <c r="M56" s="82"/>
    </row>
    <row r="57" spans="10:17" ht="14.25" customHeight="1" thickBot="1" x14ac:dyDescent="0.3">
      <c r="J57" s="74">
        <v>2020</v>
      </c>
      <c r="K57" s="5">
        <v>9</v>
      </c>
      <c r="L57" s="86">
        <v>103.8</v>
      </c>
      <c r="M57" s="82"/>
    </row>
    <row r="58" spans="10:17" ht="14.25" customHeight="1" thickBot="1" x14ac:dyDescent="0.3">
      <c r="J58" s="74">
        <v>2020</v>
      </c>
      <c r="K58" s="5">
        <v>8</v>
      </c>
      <c r="L58" s="86">
        <v>104.34</v>
      </c>
      <c r="M58" s="82"/>
    </row>
    <row r="59" spans="10:17" ht="14.25" customHeight="1" thickBot="1" x14ac:dyDescent="0.3">
      <c r="J59" s="74">
        <v>2020</v>
      </c>
      <c r="K59" s="5">
        <v>7</v>
      </c>
      <c r="L59" s="86">
        <v>104.44</v>
      </c>
      <c r="M59" s="82"/>
    </row>
    <row r="60" spans="10:17" ht="14.25" customHeight="1" thickBot="1" x14ac:dyDescent="0.3">
      <c r="J60" s="74">
        <v>2020</v>
      </c>
      <c r="K60" s="5">
        <v>6</v>
      </c>
      <c r="L60" s="86">
        <v>104.04</v>
      </c>
    </row>
    <row r="61" spans="10:17" ht="14.25" customHeight="1" thickBot="1" x14ac:dyDescent="0.3">
      <c r="J61" s="74">
        <v>2020</v>
      </c>
      <c r="K61" s="5">
        <v>5</v>
      </c>
      <c r="L61" s="86">
        <v>103.95</v>
      </c>
    </row>
    <row r="62" spans="10:17" ht="14.25" customHeight="1" thickBot="1" x14ac:dyDescent="0.3">
      <c r="J62" s="74">
        <v>2020</v>
      </c>
      <c r="K62" s="5">
        <v>4</v>
      </c>
      <c r="L62" s="86">
        <v>103.81</v>
      </c>
    </row>
    <row r="63" spans="10:17" ht="14.25" customHeight="1" thickBot="1" x14ac:dyDescent="0.3">
      <c r="J63" s="74">
        <v>2020</v>
      </c>
      <c r="K63" s="5">
        <v>3</v>
      </c>
      <c r="L63" s="86">
        <v>103.85</v>
      </c>
    </row>
    <row r="64" spans="10:17" ht="14.25" customHeight="1" thickBot="1" x14ac:dyDescent="0.3">
      <c r="J64" s="74">
        <v>2020</v>
      </c>
      <c r="K64" s="5">
        <v>2</v>
      </c>
      <c r="L64" s="86">
        <v>103.93</v>
      </c>
    </row>
    <row r="65" spans="10:12" ht="14.25" customHeight="1" thickBot="1" x14ac:dyDescent="0.3">
      <c r="J65" s="5">
        <v>2020</v>
      </c>
      <c r="K65" s="5">
        <v>1</v>
      </c>
      <c r="L65" s="86">
        <v>103.94</v>
      </c>
    </row>
    <row r="66" spans="10:12" ht="14.25" customHeight="1" thickBot="1" x14ac:dyDescent="0.3">
      <c r="J66" s="74">
        <v>2019</v>
      </c>
      <c r="K66" s="5">
        <v>12</v>
      </c>
      <c r="L66" s="86">
        <v>104.39</v>
      </c>
    </row>
    <row r="67" spans="10:12" ht="14.25" customHeight="1" thickBot="1" x14ac:dyDescent="0.3">
      <c r="J67" s="74">
        <v>2019</v>
      </c>
      <c r="K67" s="5">
        <v>11</v>
      </c>
      <c r="L67" s="86">
        <v>103.92</v>
      </c>
    </row>
    <row r="68" spans="10:12" ht="14.25" customHeight="1" thickBot="1" x14ac:dyDescent="0.3">
      <c r="J68" s="74">
        <v>2019</v>
      </c>
      <c r="K68" s="5">
        <v>10</v>
      </c>
      <c r="L68" s="86">
        <v>103.99</v>
      </c>
    </row>
    <row r="69" spans="10:12" ht="14.25" customHeight="1" thickBot="1" x14ac:dyDescent="0.3">
      <c r="J69" s="74">
        <v>2019</v>
      </c>
      <c r="K69" s="5">
        <v>9</v>
      </c>
      <c r="L69" s="86">
        <v>104.04</v>
      </c>
    </row>
    <row r="70" spans="10:12" ht="14.25" customHeight="1" thickBot="1" x14ac:dyDescent="0.3">
      <c r="J70" s="74">
        <v>2019</v>
      </c>
      <c r="K70" s="5">
        <v>8</v>
      </c>
      <c r="L70" s="86">
        <v>104.4</v>
      </c>
    </row>
    <row r="71" spans="10:12" ht="14.25" customHeight="1" thickBot="1" x14ac:dyDescent="0.3">
      <c r="J71" s="74">
        <v>2019</v>
      </c>
      <c r="K71" s="5">
        <v>7</v>
      </c>
      <c r="L71" s="86">
        <v>103.91</v>
      </c>
    </row>
    <row r="72" spans="10:12" ht="14.25" customHeight="1" thickBot="1" x14ac:dyDescent="0.3">
      <c r="J72" s="74">
        <v>2019</v>
      </c>
      <c r="K72" s="5">
        <v>6</v>
      </c>
      <c r="L72" s="86">
        <v>104.12</v>
      </c>
    </row>
    <row r="73" spans="10:12" ht="14.25" customHeight="1" thickBot="1" x14ac:dyDescent="0.3">
      <c r="J73" s="74">
        <v>2019</v>
      </c>
      <c r="K73" s="5">
        <v>5</v>
      </c>
      <c r="L73" s="86">
        <v>103.86</v>
      </c>
    </row>
    <row r="74" spans="10:12" ht="14.25" customHeight="1" thickBot="1" x14ac:dyDescent="0.3">
      <c r="J74" s="74">
        <v>2019</v>
      </c>
      <c r="K74" s="5">
        <v>4</v>
      </c>
      <c r="L74" s="86">
        <v>103.76</v>
      </c>
    </row>
    <row r="75" spans="10:12" ht="14.25" customHeight="1" thickBot="1" x14ac:dyDescent="0.3">
      <c r="J75" s="74">
        <v>2019</v>
      </c>
      <c r="K75" s="5">
        <v>3</v>
      </c>
      <c r="L75" s="86">
        <v>103.43</v>
      </c>
    </row>
    <row r="76" spans="10:12" ht="14.25" customHeight="1" thickBot="1" x14ac:dyDescent="0.3">
      <c r="J76" s="74">
        <v>2019</v>
      </c>
      <c r="K76" s="5">
        <v>2</v>
      </c>
      <c r="L76" s="86">
        <v>102.73</v>
      </c>
    </row>
    <row r="77" spans="10:12" ht="14.25" customHeight="1" thickBot="1" x14ac:dyDescent="0.3">
      <c r="J77" s="5">
        <v>2019</v>
      </c>
      <c r="K77" s="5">
        <v>1</v>
      </c>
      <c r="L77" s="86">
        <v>102.67</v>
      </c>
    </row>
    <row r="78" spans="10:12" s="3" customFormat="1" x14ac:dyDescent="0.25"/>
    <row r="79" spans="10:12" s="3" customFormat="1" x14ac:dyDescent="0.25"/>
    <row r="80" spans="10:12" s="3" customFormat="1" x14ac:dyDescent="0.25"/>
    <row r="81" s="3" customFormat="1" x14ac:dyDescent="0.25"/>
  </sheetData>
  <mergeCells count="5">
    <mergeCell ref="B1:D1"/>
    <mergeCell ref="J3:K3"/>
    <mergeCell ref="J4:K4"/>
    <mergeCell ref="B5:H5"/>
    <mergeCell ref="B7:H7"/>
  </mergeCells>
  <hyperlinks>
    <hyperlink ref="L5" r:id="rId1" xr:uid="{D30BC102-DF3A-4644-8EF3-D8C4A98C697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3E0F-CB9A-4312-826C-F7620A85FEE1}">
  <sheetPr>
    <tabColor theme="9"/>
  </sheetPr>
  <dimension ref="A1:N48"/>
  <sheetViews>
    <sheetView topLeftCell="A29" zoomScaleNormal="100" workbookViewId="0">
      <selection activeCell="B17" sqref="B17"/>
    </sheetView>
  </sheetViews>
  <sheetFormatPr baseColWidth="10" defaultColWidth="11.42578125" defaultRowHeight="13.5" x14ac:dyDescent="0.25"/>
  <cols>
    <col min="1" max="1" width="5.5703125" style="19" customWidth="1"/>
    <col min="2" max="2" width="116.5703125" style="19" customWidth="1"/>
    <col min="3" max="8" width="12.7109375" style="19" customWidth="1"/>
    <col min="9" max="9" width="15" style="19" customWidth="1"/>
    <col min="10" max="10" width="17.7109375" style="19" customWidth="1"/>
    <col min="11" max="16384" width="11.42578125" style="19"/>
  </cols>
  <sheetData>
    <row r="1" spans="1:14" s="17" customFormat="1" ht="15.95" customHeight="1" x14ac:dyDescent="0.3">
      <c r="B1" s="132" t="s">
        <v>15</v>
      </c>
    </row>
    <row r="2" spans="1:14" s="17" customFormat="1" ht="15.95" customHeight="1" x14ac:dyDescent="0.3">
      <c r="B2" s="6" t="s">
        <v>16</v>
      </c>
      <c r="C2" s="19"/>
      <c r="D2" s="19"/>
      <c r="E2" s="19"/>
      <c r="F2" s="19"/>
    </row>
    <row r="3" spans="1:14" ht="15.95" customHeight="1" x14ac:dyDescent="0.3">
      <c r="B3" s="136" t="s">
        <v>95</v>
      </c>
      <c r="G3" s="21"/>
    </row>
    <row r="4" spans="1:14" ht="15" customHeight="1" thickBot="1" x14ac:dyDescent="0.3">
      <c r="B4" s="22"/>
    </row>
    <row r="5" spans="1:14" s="31" customFormat="1" ht="18" customHeight="1" thickBot="1" x14ac:dyDescent="0.3">
      <c r="B5" s="23" t="s">
        <v>100</v>
      </c>
      <c r="C5" s="24"/>
      <c r="D5" s="24"/>
      <c r="E5" s="24">
        <v>2021</v>
      </c>
      <c r="F5" s="24">
        <v>2022</v>
      </c>
      <c r="G5" s="24">
        <v>2023</v>
      </c>
      <c r="H5" s="24">
        <v>2024</v>
      </c>
      <c r="I5" s="32"/>
      <c r="J5" s="33"/>
      <c r="L5" s="33"/>
      <c r="N5" s="33"/>
    </row>
    <row r="6" spans="1:14" s="31" customFormat="1" ht="16.350000000000001" customHeight="1" thickBot="1" x14ac:dyDescent="0.3">
      <c r="A6" s="436"/>
      <c r="B6" s="137" t="s">
        <v>25</v>
      </c>
      <c r="C6" s="138"/>
      <c r="D6" s="139"/>
      <c r="E6" s="397">
        <f>SUM(E7:E10)</f>
        <v>4621</v>
      </c>
      <c r="F6" s="140">
        <f>SUM(F7:F10)</f>
        <v>4906.0420194400349</v>
      </c>
      <c r="G6" s="140">
        <f t="shared" ref="G6:H6" si="0">SUM(G7:G10)</f>
        <v>4969</v>
      </c>
      <c r="H6" s="140">
        <f t="shared" si="0"/>
        <v>5059</v>
      </c>
      <c r="I6" s="39"/>
      <c r="J6" s="112"/>
      <c r="K6" s="112"/>
      <c r="L6" s="112"/>
      <c r="M6" s="112"/>
    </row>
    <row r="7" spans="1:14" s="31" customFormat="1" ht="16.350000000000001" customHeight="1" thickBot="1" x14ac:dyDescent="0.3">
      <c r="A7" s="436"/>
      <c r="B7" s="135" t="s">
        <v>102</v>
      </c>
      <c r="C7" s="37"/>
      <c r="D7" s="38"/>
      <c r="E7" s="396">
        <v>4114</v>
      </c>
      <c r="F7" s="418">
        <v>4349.6635233479192</v>
      </c>
      <c r="G7" s="141">
        <v>4450</v>
      </c>
      <c r="H7" s="141">
        <v>4575</v>
      </c>
      <c r="I7" s="39"/>
      <c r="J7" s="112"/>
      <c r="K7" s="112"/>
      <c r="L7" s="112"/>
      <c r="M7" s="112"/>
    </row>
    <row r="8" spans="1:14" s="31" customFormat="1" ht="16.350000000000001" customHeight="1" thickBot="1" x14ac:dyDescent="0.3">
      <c r="A8" s="436"/>
      <c r="B8" s="135" t="s">
        <v>103</v>
      </c>
      <c r="C8" s="37"/>
      <c r="D8" s="38"/>
      <c r="E8" s="396">
        <v>500</v>
      </c>
      <c r="F8" s="396">
        <v>550.70472784482513</v>
      </c>
      <c r="G8" s="141">
        <v>523</v>
      </c>
      <c r="H8" s="141">
        <v>487</v>
      </c>
      <c r="I8" s="39"/>
      <c r="J8" s="112"/>
      <c r="K8" s="112"/>
      <c r="L8" s="112"/>
      <c r="M8" s="112"/>
    </row>
    <row r="9" spans="1:14" s="31" customFormat="1" ht="16.350000000000001" customHeight="1" thickBot="1" x14ac:dyDescent="0.3">
      <c r="A9" s="436"/>
      <c r="B9" s="135" t="s">
        <v>104</v>
      </c>
      <c r="C9" s="37"/>
      <c r="D9" s="38"/>
      <c r="E9" s="396">
        <v>7</v>
      </c>
      <c r="F9" s="396">
        <v>5.67376824729</v>
      </c>
      <c r="G9" s="141">
        <v>7</v>
      </c>
      <c r="H9" s="141">
        <v>7</v>
      </c>
      <c r="I9" s="39"/>
      <c r="J9" s="112"/>
      <c r="K9" s="112"/>
      <c r="L9" s="112"/>
      <c r="M9" s="112"/>
    </row>
    <row r="10" spans="1:14" s="31" customFormat="1" ht="16.350000000000001" customHeight="1" thickBot="1" x14ac:dyDescent="0.3">
      <c r="A10" s="436"/>
      <c r="B10" s="135" t="s">
        <v>105</v>
      </c>
      <c r="C10" s="37"/>
      <c r="D10" s="38"/>
      <c r="E10" s="396">
        <v>0</v>
      </c>
      <c r="F10" s="396">
        <v>0</v>
      </c>
      <c r="G10" s="141">
        <v>-11</v>
      </c>
      <c r="H10" s="141">
        <v>-10</v>
      </c>
      <c r="I10" s="39"/>
      <c r="J10" s="112"/>
      <c r="K10" s="112"/>
      <c r="L10" s="112"/>
      <c r="M10" s="112"/>
    </row>
    <row r="11" spans="1:14" s="31" customFormat="1" ht="16.350000000000001" customHeight="1" thickBot="1" x14ac:dyDescent="0.3">
      <c r="A11" s="436"/>
      <c r="B11" s="36" t="s">
        <v>43</v>
      </c>
      <c r="C11" s="37"/>
      <c r="D11" s="38"/>
      <c r="E11" s="396">
        <v>303</v>
      </c>
      <c r="F11" s="396">
        <v>326.38933990571024</v>
      </c>
      <c r="G11" s="133">
        <v>377.24756571647322</v>
      </c>
      <c r="H11" s="133">
        <v>364.31924096548789</v>
      </c>
      <c r="I11" s="39"/>
      <c r="J11" s="112"/>
      <c r="K11" s="112"/>
      <c r="L11" s="112"/>
      <c r="M11" s="112"/>
    </row>
    <row r="12" spans="1:14" s="31" customFormat="1" ht="16.350000000000001" customHeight="1" thickBot="1" x14ac:dyDescent="0.3">
      <c r="A12" s="436"/>
      <c r="B12" s="137" t="s">
        <v>101</v>
      </c>
      <c r="C12" s="138"/>
      <c r="D12" s="139"/>
      <c r="E12" s="397">
        <f>E6-E11</f>
        <v>4318</v>
      </c>
      <c r="F12" s="397">
        <f>F6-F11</f>
        <v>4579.6526795343243</v>
      </c>
      <c r="G12" s="140">
        <f t="shared" ref="G12:H12" si="1">G6-G11</f>
        <v>4591.7524342835268</v>
      </c>
      <c r="H12" s="140">
        <f t="shared" si="1"/>
        <v>4694.6807590345124</v>
      </c>
      <c r="I12" s="39"/>
      <c r="J12" s="112"/>
      <c r="K12" s="112"/>
      <c r="L12" s="112"/>
      <c r="M12" s="112"/>
    </row>
    <row r="13" spans="1:14" s="31" customFormat="1" ht="16.350000000000001" customHeight="1" thickBot="1" x14ac:dyDescent="0.3">
      <c r="A13" s="436"/>
      <c r="B13" s="36" t="s">
        <v>65</v>
      </c>
      <c r="C13" s="37"/>
      <c r="D13" s="38"/>
      <c r="E13" s="396">
        <v>3726.4632338000001</v>
      </c>
      <c r="F13" s="396">
        <v>3539.6550346900003</v>
      </c>
      <c r="G13" s="133">
        <v>3690.7558882644362</v>
      </c>
      <c r="H13" s="133">
        <v>3745.8994719213961</v>
      </c>
      <c r="I13" s="39"/>
    </row>
    <row r="14" spans="1:14" s="31" customFormat="1" ht="16.350000000000001" customHeight="1" thickBot="1" x14ac:dyDescent="0.3">
      <c r="A14" s="436"/>
      <c r="B14" s="36" t="s">
        <v>66</v>
      </c>
      <c r="C14" s="37"/>
      <c r="D14" s="38"/>
      <c r="E14" s="396">
        <v>27.501460999999999</v>
      </c>
      <c r="F14" s="396">
        <v>27.1135372</v>
      </c>
      <c r="G14" s="133">
        <v>33.19</v>
      </c>
      <c r="H14" s="133">
        <v>22.5</v>
      </c>
      <c r="I14" s="112"/>
      <c r="J14" s="112"/>
      <c r="K14" s="112"/>
    </row>
    <row r="15" spans="1:14" s="31" customFormat="1" ht="16.350000000000001" customHeight="1" thickBot="1" x14ac:dyDescent="0.3">
      <c r="A15" s="436"/>
      <c r="B15" s="40" t="s">
        <v>67</v>
      </c>
      <c r="C15" s="37"/>
      <c r="D15" s="38"/>
      <c r="E15" s="396">
        <f>1494.58658406+0.1856418814432-23.049867993415</f>
        <v>1471.722357948028</v>
      </c>
      <c r="F15" s="396">
        <f>2219.57122065+10.9905988564018</f>
        <v>2230.5618195064021</v>
      </c>
      <c r="G15" s="133">
        <v>1165.2368324741296</v>
      </c>
      <c r="H15" s="133">
        <v>1158.6066844761442</v>
      </c>
    </row>
    <row r="16" spans="1:14" s="31" customFormat="1" ht="16.350000000000001" customHeight="1" thickBot="1" x14ac:dyDescent="0.3">
      <c r="A16" s="436"/>
      <c r="B16" s="36" t="s">
        <v>68</v>
      </c>
      <c r="C16" s="37"/>
      <c r="D16" s="38"/>
      <c r="E16" s="396">
        <v>105.9</v>
      </c>
      <c r="F16" s="396">
        <v>88.9</v>
      </c>
      <c r="G16" s="133">
        <v>90</v>
      </c>
      <c r="H16" s="133">
        <v>90</v>
      </c>
    </row>
    <row r="17" spans="1:12" s="31" customFormat="1" ht="16.350000000000001" customHeight="1" thickBot="1" x14ac:dyDescent="0.3">
      <c r="A17" s="436"/>
      <c r="B17" s="36" t="s">
        <v>69</v>
      </c>
      <c r="C17" s="37"/>
      <c r="D17" s="38"/>
      <c r="E17" s="396">
        <v>232.57898116979635</v>
      </c>
      <c r="F17" s="396">
        <v>187.58324287310606</v>
      </c>
      <c r="G17" s="133">
        <v>239.77799999999999</v>
      </c>
      <c r="H17" s="133">
        <v>239.77799999999999</v>
      </c>
      <c r="J17" s="417"/>
    </row>
    <row r="18" spans="1:12" s="31" customFormat="1" ht="16.350000000000001" customHeight="1" thickBot="1" x14ac:dyDescent="0.3">
      <c r="A18" s="436"/>
      <c r="B18" s="36" t="s">
        <v>70</v>
      </c>
      <c r="C18" s="37"/>
      <c r="D18" s="38"/>
      <c r="E18" s="396">
        <v>278.57581872999998</v>
      </c>
      <c r="F18" s="396">
        <v>296.40535540000002</v>
      </c>
      <c r="G18" s="133">
        <v>0</v>
      </c>
      <c r="H18" s="133">
        <v>0</v>
      </c>
    </row>
    <row r="19" spans="1:12" s="31" customFormat="1" ht="16.350000000000001" customHeight="1" thickBot="1" x14ac:dyDescent="0.3">
      <c r="A19" s="436"/>
      <c r="B19" s="36" t="s">
        <v>71</v>
      </c>
      <c r="C19" s="37"/>
      <c r="D19" s="38"/>
      <c r="E19" s="396">
        <v>1.6977869999999999</v>
      </c>
      <c r="F19" s="396">
        <v>2.7579884983554557</v>
      </c>
      <c r="G19" s="133">
        <v>0</v>
      </c>
      <c r="H19" s="133">
        <v>0</v>
      </c>
    </row>
    <row r="20" spans="1:12" s="31" customFormat="1" ht="16.350000000000001" customHeight="1" thickBot="1" x14ac:dyDescent="0.3">
      <c r="A20" s="436"/>
      <c r="B20" s="36" t="s">
        <v>72</v>
      </c>
      <c r="C20" s="37"/>
      <c r="D20" s="38"/>
      <c r="E20" s="396">
        <v>315.13504164800679</v>
      </c>
      <c r="F20" s="396">
        <v>317.8336366907082</v>
      </c>
      <c r="G20" s="133">
        <v>328.08615870544992</v>
      </c>
      <c r="H20" s="133">
        <v>331.06490325657211</v>
      </c>
    </row>
    <row r="21" spans="1:12" s="31" customFormat="1" ht="16.350000000000001" customHeight="1" thickBot="1" x14ac:dyDescent="0.3">
      <c r="A21" s="436"/>
      <c r="B21" s="36" t="s">
        <v>73</v>
      </c>
      <c r="C21" s="37"/>
      <c r="D21" s="38"/>
      <c r="E21" s="396">
        <v>9.5999999999999992E-3</v>
      </c>
      <c r="F21" s="396">
        <v>0</v>
      </c>
      <c r="G21" s="133">
        <v>0</v>
      </c>
      <c r="H21" s="133">
        <v>0</v>
      </c>
    </row>
    <row r="22" spans="1:12" s="31" customFormat="1" ht="16.350000000000001" customHeight="1" thickBot="1" x14ac:dyDescent="0.3">
      <c r="A22" s="436"/>
      <c r="B22" s="36" t="s">
        <v>74</v>
      </c>
      <c r="C22" s="37"/>
      <c r="D22" s="38"/>
      <c r="E22" s="396">
        <v>0</v>
      </c>
      <c r="F22" s="396">
        <v>0</v>
      </c>
      <c r="G22" s="133">
        <v>0</v>
      </c>
      <c r="H22" s="133">
        <v>0</v>
      </c>
    </row>
    <row r="23" spans="1:12" s="31" customFormat="1" ht="16.350000000000001" customHeight="1" thickBot="1" x14ac:dyDescent="0.3">
      <c r="A23" s="436"/>
      <c r="B23" s="36" t="s">
        <v>75</v>
      </c>
      <c r="C23" s="37"/>
      <c r="D23" s="38"/>
      <c r="E23" s="396">
        <v>0</v>
      </c>
      <c r="F23" s="396">
        <v>0</v>
      </c>
      <c r="G23" s="133">
        <v>0</v>
      </c>
      <c r="H23" s="133">
        <v>0</v>
      </c>
    </row>
    <row r="24" spans="1:12" s="31" customFormat="1" ht="16.350000000000001" customHeight="1" thickBot="1" x14ac:dyDescent="0.3">
      <c r="A24" s="436"/>
      <c r="B24" s="36" t="s">
        <v>76</v>
      </c>
      <c r="C24" s="37"/>
      <c r="D24" s="38"/>
      <c r="E24" s="396">
        <v>-41.289303725154241</v>
      </c>
      <c r="F24" s="396">
        <v>-187.5598840552866</v>
      </c>
      <c r="G24" s="133">
        <v>33.352689307814217</v>
      </c>
      <c r="H24" s="133">
        <v>203.50248886715417</v>
      </c>
    </row>
    <row r="25" spans="1:12" s="31" customFormat="1" ht="15" customHeight="1" thickBot="1" x14ac:dyDescent="0.3">
      <c r="E25" s="142"/>
      <c r="F25" s="142"/>
      <c r="K25" s="33"/>
      <c r="L25" s="43"/>
    </row>
    <row r="26" spans="1:12" s="31" customFormat="1" ht="15" customHeight="1" thickBot="1" x14ac:dyDescent="0.3">
      <c r="A26" s="437" t="s">
        <v>27</v>
      </c>
      <c r="B26" s="36" t="s">
        <v>28</v>
      </c>
      <c r="C26" s="37"/>
      <c r="D26" s="38"/>
      <c r="E26" s="396">
        <v>848.15524284000003</v>
      </c>
      <c r="F26" s="396">
        <v>888.07076073999997</v>
      </c>
      <c r="G26" s="133">
        <v>820.85706919078302</v>
      </c>
      <c r="H26" s="133">
        <v>920.26589868223004</v>
      </c>
      <c r="K26" s="33"/>
      <c r="L26" s="43"/>
    </row>
    <row r="27" spans="1:12" s="31" customFormat="1" ht="15" customHeight="1" thickBot="1" x14ac:dyDescent="0.3">
      <c r="A27" s="436"/>
      <c r="B27" s="36" t="s">
        <v>77</v>
      </c>
      <c r="C27" s="37"/>
      <c r="D27" s="38"/>
      <c r="E27" s="398">
        <v>0.45302880000000006</v>
      </c>
      <c r="F27" s="398">
        <v>6.3763576000000004</v>
      </c>
      <c r="G27" s="133">
        <v>0</v>
      </c>
      <c r="H27" s="133">
        <v>0</v>
      </c>
      <c r="K27" s="33"/>
      <c r="L27" s="43"/>
    </row>
    <row r="28" spans="1:12" s="31" customFormat="1" ht="15" customHeight="1" thickBot="1" x14ac:dyDescent="0.3">
      <c r="A28" s="436"/>
      <c r="B28" s="36" t="s">
        <v>78</v>
      </c>
      <c r="C28" s="37"/>
      <c r="D28" s="38"/>
      <c r="E28" s="396">
        <v>0</v>
      </c>
      <c r="F28" s="396">
        <v>0</v>
      </c>
      <c r="G28" s="133">
        <v>0</v>
      </c>
      <c r="H28" s="133">
        <v>0</v>
      </c>
      <c r="K28" s="33"/>
      <c r="L28" s="43"/>
    </row>
    <row r="29" spans="1:12" s="31" customFormat="1" ht="15" customHeight="1" thickBot="1" x14ac:dyDescent="0.3">
      <c r="A29" s="436"/>
      <c r="B29" s="36" t="s">
        <v>79</v>
      </c>
      <c r="C29" s="37"/>
      <c r="D29" s="38"/>
      <c r="E29" s="396">
        <v>0</v>
      </c>
      <c r="F29" s="396">
        <v>0</v>
      </c>
      <c r="G29" s="133">
        <v>0</v>
      </c>
      <c r="H29" s="133">
        <v>0</v>
      </c>
      <c r="K29" s="33"/>
      <c r="L29" s="43"/>
    </row>
    <row r="30" spans="1:12" s="31" customFormat="1" ht="15" customHeight="1" thickBot="1" x14ac:dyDescent="0.3">
      <c r="E30" s="142"/>
      <c r="F30" s="142"/>
      <c r="K30" s="33"/>
      <c r="L30" s="43"/>
    </row>
    <row r="31" spans="1:12" s="31" customFormat="1" ht="15" customHeight="1" thickBot="1" x14ac:dyDescent="0.3">
      <c r="A31" s="437" t="s">
        <v>30</v>
      </c>
      <c r="B31" s="40" t="s">
        <v>31</v>
      </c>
      <c r="C31" s="37"/>
      <c r="D31" s="38"/>
      <c r="E31" s="396">
        <v>-26.276268701357601</v>
      </c>
      <c r="F31" s="396">
        <v>-16.789883903638799</v>
      </c>
      <c r="G31" s="133">
        <v>0</v>
      </c>
      <c r="H31" s="133">
        <v>0</v>
      </c>
      <c r="K31" s="33"/>
      <c r="L31" s="43"/>
    </row>
    <row r="32" spans="1:12" s="31" customFormat="1" ht="15" customHeight="1" thickBot="1" x14ac:dyDescent="0.3">
      <c r="A32" s="436"/>
      <c r="B32" s="40" t="s">
        <v>32</v>
      </c>
      <c r="C32" s="37"/>
      <c r="D32" s="38"/>
      <c r="E32" s="396">
        <v>15.777294810000001</v>
      </c>
      <c r="F32" s="396">
        <v>16.799572929498002</v>
      </c>
      <c r="G32" s="133">
        <v>0</v>
      </c>
      <c r="H32" s="133">
        <v>0</v>
      </c>
      <c r="K32" s="33"/>
      <c r="L32" s="43"/>
    </row>
    <row r="33" spans="1:12" s="31" customFormat="1" ht="15" customHeight="1" thickBot="1" x14ac:dyDescent="0.3">
      <c r="A33" s="436"/>
      <c r="B33" s="40" t="s">
        <v>80</v>
      </c>
      <c r="C33" s="37"/>
      <c r="D33" s="38"/>
      <c r="E33" s="396">
        <v>65.447557950000004</v>
      </c>
      <c r="F33" s="396">
        <v>18.330988384619999</v>
      </c>
      <c r="G33" s="133">
        <v>0</v>
      </c>
      <c r="H33" s="133">
        <v>0</v>
      </c>
      <c r="K33" s="33"/>
      <c r="L33" s="43"/>
    </row>
    <row r="34" spans="1:12" s="31" customFormat="1" ht="15" customHeight="1" thickBot="1" x14ac:dyDescent="0.3">
      <c r="A34" s="436"/>
      <c r="B34" s="40" t="s">
        <v>33</v>
      </c>
      <c r="C34" s="37"/>
      <c r="D34" s="38"/>
      <c r="E34" s="396">
        <v>-14.050566379999999</v>
      </c>
      <c r="F34" s="396">
        <v>-10.1957077625772</v>
      </c>
      <c r="G34" s="133">
        <v>0</v>
      </c>
      <c r="H34" s="133">
        <v>0</v>
      </c>
      <c r="K34" s="33"/>
      <c r="L34" s="43"/>
    </row>
    <row r="35" spans="1:12" s="31" customFormat="1" ht="15" customHeight="1" thickBot="1" x14ac:dyDescent="0.3">
      <c r="A35" s="436"/>
      <c r="B35" s="40" t="s">
        <v>81</v>
      </c>
      <c r="C35" s="37"/>
      <c r="D35" s="38"/>
      <c r="E35" s="396">
        <v>-1.3547041900000001</v>
      </c>
      <c r="F35" s="396">
        <v>3</v>
      </c>
      <c r="G35" s="133">
        <v>0</v>
      </c>
      <c r="H35" s="133">
        <v>0</v>
      </c>
      <c r="K35" s="33"/>
      <c r="L35" s="43"/>
    </row>
    <row r="36" spans="1:12" s="31" customFormat="1" ht="15" customHeight="1" thickBot="1" x14ac:dyDescent="0.3">
      <c r="A36" s="436"/>
      <c r="B36" s="40" t="s">
        <v>82</v>
      </c>
      <c r="C36" s="37"/>
      <c r="D36" s="38"/>
      <c r="E36" s="396">
        <v>0</v>
      </c>
      <c r="F36" s="396">
        <v>0</v>
      </c>
      <c r="G36" s="133">
        <v>0</v>
      </c>
      <c r="H36" s="133">
        <v>0</v>
      </c>
      <c r="K36" s="33"/>
      <c r="L36" s="43"/>
    </row>
    <row r="37" spans="1:12" s="31" customFormat="1" ht="15" customHeight="1" thickBot="1" x14ac:dyDescent="0.3">
      <c r="A37" s="438"/>
      <c r="B37" s="40" t="s">
        <v>83</v>
      </c>
      <c r="C37" s="37"/>
      <c r="D37" s="38"/>
      <c r="E37" s="110"/>
      <c r="F37" s="110"/>
      <c r="G37" s="110"/>
      <c r="H37" s="133">
        <v>0</v>
      </c>
      <c r="K37" s="33"/>
      <c r="L37" s="43"/>
    </row>
    <row r="38" spans="1:12" s="31" customFormat="1" ht="15" customHeight="1" thickBot="1" x14ac:dyDescent="0.3">
      <c r="A38" s="34"/>
      <c r="B38" s="106"/>
      <c r="C38" s="41"/>
      <c r="D38" s="64"/>
      <c r="E38" s="64"/>
      <c r="F38" s="64"/>
      <c r="G38" s="64"/>
      <c r="H38" s="64"/>
      <c r="K38" s="33"/>
      <c r="L38" s="43"/>
    </row>
    <row r="39" spans="1:12" s="31" customFormat="1" ht="18" customHeight="1" thickBot="1" x14ac:dyDescent="0.3">
      <c r="A39" s="34"/>
      <c r="B39" s="23" t="s">
        <v>96</v>
      </c>
      <c r="C39" s="24"/>
      <c r="D39" s="24"/>
      <c r="E39" s="24">
        <v>2021</v>
      </c>
      <c r="F39" s="24">
        <v>2022</v>
      </c>
      <c r="G39" s="24">
        <v>2023</v>
      </c>
      <c r="H39" s="24">
        <v>2024</v>
      </c>
      <c r="I39" s="47"/>
      <c r="J39" s="43"/>
    </row>
    <row r="40" spans="1:12" s="31" customFormat="1" ht="17.25" customHeight="1" thickBot="1" x14ac:dyDescent="0.3">
      <c r="A40" s="34"/>
      <c r="B40" s="104" t="s">
        <v>97</v>
      </c>
      <c r="C40" s="104"/>
      <c r="D40" s="104"/>
      <c r="E40" s="111">
        <f>E41+E42</f>
        <v>14665.441592422987</v>
      </c>
      <c r="F40" s="111">
        <f t="shared" ref="F40:H40" si="2">F41+F42</f>
        <v>14456.804408899998</v>
      </c>
      <c r="G40" s="111">
        <f t="shared" si="2"/>
        <v>14706.57142639105</v>
      </c>
      <c r="H40" s="111">
        <f t="shared" si="2"/>
        <v>15093.406374434591</v>
      </c>
      <c r="I40" s="49"/>
      <c r="J40" s="50"/>
    </row>
    <row r="41" spans="1:12" s="31" customFormat="1" ht="17.25" customHeight="1" thickBot="1" x14ac:dyDescent="0.3">
      <c r="A41" s="34"/>
      <c r="B41" s="115" t="s">
        <v>98</v>
      </c>
      <c r="C41" s="114"/>
      <c r="D41" s="48"/>
      <c r="E41" s="396">
        <v>14389.205397260001</v>
      </c>
      <c r="F41" s="396">
        <v>14160.399053499998</v>
      </c>
      <c r="G41" s="133">
        <v>8525.1020098316912</v>
      </c>
      <c r="H41" s="133">
        <v>8738.487709785717</v>
      </c>
      <c r="I41" s="49"/>
      <c r="J41" s="50"/>
    </row>
    <row r="42" spans="1:12" s="31" customFormat="1" ht="17.25" customHeight="1" thickBot="1" x14ac:dyDescent="0.3">
      <c r="A42" s="34"/>
      <c r="B42" s="134" t="s">
        <v>99</v>
      </c>
      <c r="C42" s="37"/>
      <c r="D42" s="52"/>
      <c r="E42" s="396">
        <v>276.23619516298601</v>
      </c>
      <c r="F42" s="396">
        <v>296.40535539999996</v>
      </c>
      <c r="G42" s="133">
        <v>6181.4694165593592</v>
      </c>
      <c r="H42" s="133">
        <v>6354.9186646488752</v>
      </c>
      <c r="I42" s="53"/>
      <c r="J42" s="54"/>
    </row>
    <row r="43" spans="1:12" s="31" customFormat="1" ht="15" customHeight="1" x14ac:dyDescent="0.25">
      <c r="A43" s="34"/>
      <c r="J43" s="43"/>
    </row>
    <row r="44" spans="1:12" s="31" customFormat="1" ht="15" customHeight="1" x14ac:dyDescent="0.25">
      <c r="A44" s="34"/>
      <c r="J44" s="43"/>
    </row>
    <row r="45" spans="1:12" s="31" customFormat="1" ht="15" customHeight="1" x14ac:dyDescent="0.25">
      <c r="A45" s="34"/>
      <c r="B45" s="121"/>
      <c r="C45" s="122"/>
      <c r="D45" s="123"/>
      <c r="E45" s="124"/>
      <c r="F45" s="124"/>
      <c r="G45" s="124"/>
      <c r="H45" s="124"/>
      <c r="J45" s="43"/>
    </row>
    <row r="46" spans="1:12" s="31" customFormat="1" ht="15" customHeight="1" x14ac:dyDescent="0.25">
      <c r="A46" s="34"/>
      <c r="B46" s="121"/>
      <c r="C46" s="122"/>
      <c r="D46" s="123"/>
      <c r="E46" s="124"/>
      <c r="F46" s="124"/>
      <c r="G46" s="124"/>
      <c r="H46" s="124"/>
      <c r="J46" s="43"/>
    </row>
    <row r="47" spans="1:12" s="31" customFormat="1" ht="15" customHeight="1" x14ac:dyDescent="0.25">
      <c r="A47" s="34"/>
      <c r="B47" s="121"/>
      <c r="C47" s="122"/>
      <c r="D47" s="123"/>
      <c r="E47" s="123"/>
      <c r="F47" s="123"/>
      <c r="G47" s="123"/>
      <c r="H47" s="123"/>
      <c r="J47" s="43"/>
    </row>
    <row r="48" spans="1:12" s="31" customFormat="1" ht="15" customHeight="1" x14ac:dyDescent="0.25">
      <c r="A48" s="34"/>
      <c r="B48" s="121"/>
      <c r="C48" s="122"/>
      <c r="D48" s="123"/>
      <c r="E48" s="123"/>
      <c r="F48" s="123"/>
      <c r="G48" s="123"/>
      <c r="H48" s="123"/>
      <c r="J48" s="43"/>
    </row>
  </sheetData>
  <mergeCells count="3">
    <mergeCell ref="A6:A24"/>
    <mergeCell ref="A26:A29"/>
    <mergeCell ref="A31:A37"/>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9E1-1D80-417F-BC39-A1443ED8E494}">
  <sheetPr>
    <tabColor rgb="FF7030A0"/>
  </sheetPr>
  <dimension ref="B1:R319"/>
  <sheetViews>
    <sheetView tabSelected="1" zoomScale="85" zoomScaleNormal="85" workbookViewId="0">
      <selection activeCell="L50" sqref="L50:O61"/>
    </sheetView>
  </sheetViews>
  <sheetFormatPr baseColWidth="10" defaultColWidth="11.42578125" defaultRowHeight="13.5" x14ac:dyDescent="0.25"/>
  <cols>
    <col min="1" max="1" width="1.7109375" style="142" customWidth="1"/>
    <col min="2" max="2" width="5.7109375" style="142" customWidth="1"/>
    <col min="3" max="3" width="1.7109375" style="142" customWidth="1"/>
    <col min="4" max="4" width="90.5703125" style="142" customWidth="1"/>
    <col min="5" max="5" width="12.7109375" style="142" customWidth="1"/>
    <col min="6" max="7" width="14.28515625" style="142" customWidth="1"/>
    <col min="8" max="8" width="11.28515625" style="142" customWidth="1"/>
    <col min="9" max="11" width="13.28515625" style="142" customWidth="1"/>
    <col min="12" max="12" width="16.28515625" style="145" customWidth="1"/>
    <col min="13" max="13" width="18.5703125" style="142" customWidth="1"/>
    <col min="14" max="14" width="16.28515625" style="142" customWidth="1"/>
    <col min="15" max="15" width="12.28515625" style="142" bestFit="1" customWidth="1"/>
    <col min="16" max="16384" width="11.42578125" style="142"/>
  </cols>
  <sheetData>
    <row r="1" spans="2:18" ht="21" customHeight="1" thickBot="1" x14ac:dyDescent="0.3">
      <c r="D1" s="143" t="s">
        <v>106</v>
      </c>
      <c r="H1" s="144"/>
      <c r="I1" s="144"/>
    </row>
    <row r="2" spans="2:18" ht="33" customHeight="1" thickBot="1" x14ac:dyDescent="0.3">
      <c r="D2" s="1" t="s">
        <v>139</v>
      </c>
      <c r="E2" s="146" t="s">
        <v>107</v>
      </c>
      <c r="F2" s="147">
        <v>2023</v>
      </c>
      <c r="H2" s="148"/>
      <c r="I2" s="148"/>
    </row>
    <row r="3" spans="2:18" ht="13.9" customHeight="1" thickBot="1" x14ac:dyDescent="0.3">
      <c r="D3" s="149"/>
      <c r="E3" s="150"/>
    </row>
    <row r="4" spans="2:18" ht="13.9" customHeight="1" thickBot="1" x14ac:dyDescent="0.3">
      <c r="D4" s="240" t="s">
        <v>22</v>
      </c>
      <c r="E4" s="131">
        <v>1.7000000000000001E-2</v>
      </c>
    </row>
    <row r="5" spans="2:18" ht="13.9" customHeight="1" thickBot="1" x14ac:dyDescent="0.3">
      <c r="D5" s="240" t="s">
        <v>92</v>
      </c>
      <c r="E5" s="131">
        <f>'Equilibre prévisionnel'!I3</f>
        <v>3.1265255480451902E-3</v>
      </c>
    </row>
    <row r="6" spans="2:18" ht="13.9" customHeight="1" thickBot="1" x14ac:dyDescent="0.3">
      <c r="D6" s="151"/>
      <c r="E6" s="151"/>
      <c r="G6" s="152"/>
      <c r="H6" s="152"/>
      <c r="I6" s="152"/>
      <c r="J6" s="152"/>
      <c r="K6" s="152"/>
      <c r="L6" s="153"/>
      <c r="M6" s="154"/>
      <c r="N6" s="151"/>
      <c r="O6" s="155"/>
      <c r="P6" s="155"/>
      <c r="Q6" s="155"/>
      <c r="R6" s="155"/>
    </row>
    <row r="7" spans="2:18" ht="21.6" customHeight="1" x14ac:dyDescent="0.25">
      <c r="B7" s="432" t="s">
        <v>6</v>
      </c>
      <c r="D7" s="68" t="s">
        <v>39</v>
      </c>
      <c r="E7" s="4"/>
      <c r="F7" s="4">
        <v>2020</v>
      </c>
      <c r="G7" s="4">
        <v>2021</v>
      </c>
      <c r="H7" s="4">
        <v>2022</v>
      </c>
      <c r="I7" s="4">
        <v>2023</v>
      </c>
      <c r="J7" s="4">
        <v>2024</v>
      </c>
      <c r="K7" s="156"/>
      <c r="L7" s="153"/>
      <c r="M7" s="154"/>
      <c r="N7" s="151"/>
      <c r="O7" s="155"/>
      <c r="P7" s="155"/>
      <c r="Q7" s="155"/>
      <c r="R7" s="155"/>
    </row>
    <row r="8" spans="2:18" ht="15.75" customHeight="1" thickBot="1" x14ac:dyDescent="0.3">
      <c r="B8" s="433"/>
      <c r="D8" s="75" t="s">
        <v>123</v>
      </c>
      <c r="E8" s="5"/>
      <c r="F8" s="157">
        <f>IPC!D6</f>
        <v>0</v>
      </c>
      <c r="G8" s="157">
        <f>IPC!E6</f>
        <v>1.4999999999999902E-2</v>
      </c>
      <c r="H8" s="157">
        <f>IPC!F6</f>
        <v>1.4999999999999999E-2</v>
      </c>
      <c r="I8" s="157">
        <f>IPC!G6</f>
        <v>4.2000000000000003E-2</v>
      </c>
      <c r="J8" s="157">
        <f>IPC!H6</f>
        <v>1.7999999999999999E-2</v>
      </c>
      <c r="K8" s="158"/>
      <c r="L8" s="153"/>
      <c r="M8" s="154"/>
      <c r="N8" s="151"/>
      <c r="O8" s="155"/>
      <c r="P8" s="155"/>
      <c r="Q8" s="155"/>
      <c r="R8" s="155"/>
    </row>
    <row r="9" spans="2:18" ht="16.149999999999999" customHeight="1" thickBot="1" x14ac:dyDescent="0.3">
      <c r="B9" s="433"/>
      <c r="D9" s="75" t="s">
        <v>108</v>
      </c>
      <c r="E9" s="5"/>
      <c r="F9" s="157">
        <f>IF($F$2&gt;F$7,IPC!D9,'Equilibre prévisionnel'!G6)</f>
        <v>2.0719230336807559E-3</v>
      </c>
      <c r="G9" s="157">
        <f>IF($F$2&gt;G$7,IPC!E9,'Equilibre prévisionnel'!H6)</f>
        <v>1.5539349254688251E-2</v>
      </c>
      <c r="H9" s="157">
        <f>IF($F$2&gt;H$7,IPC!F9,'Equilibre prévisionnel'!I6)</f>
        <v>5.3448969767753818E-2</v>
      </c>
      <c r="I9" s="157">
        <f>IF($F$2&gt;I$7,IPC!G9,'Equilibre prévisionnel'!J6)</f>
        <v>1.2E-2</v>
      </c>
      <c r="J9" s="157">
        <f>IF($F$2&gt;J$7,IPC!H9,'Equilibre prévisionnel'!K6)</f>
        <v>1.4999999999999999E-2</v>
      </c>
      <c r="K9" s="158"/>
      <c r="L9" s="153"/>
      <c r="M9" s="159"/>
      <c r="N9" s="151"/>
    </row>
    <row r="10" spans="2:18" ht="16.149999999999999" customHeight="1" thickBot="1" x14ac:dyDescent="0.3">
      <c r="B10" s="433"/>
      <c r="D10" s="28" t="s">
        <v>109</v>
      </c>
      <c r="E10" s="29">
        <v>1</v>
      </c>
      <c r="F10" s="30">
        <f>E10*(1+F9)</f>
        <v>1.0020719230336808</v>
      </c>
      <c r="G10" s="30">
        <f t="shared" ref="G10:J10" si="0">F10*(1+G9)</f>
        <v>1.0176434686240181</v>
      </c>
      <c r="H10" s="30">
        <f>G10*(1+H9)</f>
        <v>1.0720354636128553</v>
      </c>
      <c r="I10" s="30">
        <f t="shared" si="0"/>
        <v>1.0848998891762096</v>
      </c>
      <c r="J10" s="30">
        <f t="shared" si="0"/>
        <v>1.1011733875138527</v>
      </c>
      <c r="K10" s="160"/>
      <c r="L10" s="153"/>
      <c r="M10" s="153"/>
      <c r="N10" s="153"/>
    </row>
    <row r="11" spans="2:18" ht="16.149999999999999" customHeight="1" thickBot="1" x14ac:dyDescent="0.3">
      <c r="B11" s="161"/>
      <c r="D11" s="28" t="s">
        <v>110</v>
      </c>
      <c r="E11" s="29">
        <v>1</v>
      </c>
      <c r="F11" s="30">
        <f>'Equilibre prévisionnel'!G7</f>
        <v>1.002</v>
      </c>
      <c r="G11" s="30">
        <f>'Equilibre prévisionnel'!H7</f>
        <v>1.0080119999999999</v>
      </c>
      <c r="H11" s="30">
        <f>'Equilibre prévisionnel'!I7</f>
        <v>1.0180921199999999</v>
      </c>
      <c r="I11" s="30">
        <f>'Equilibre prévisionnel'!J7</f>
        <v>1.0303092254399999</v>
      </c>
      <c r="J11" s="30">
        <f>'Equilibre prévisionnel'!K7</f>
        <v>1.0457638638215998</v>
      </c>
      <c r="K11" s="160"/>
      <c r="L11" s="153"/>
      <c r="M11" s="151"/>
      <c r="N11" s="151"/>
    </row>
    <row r="12" spans="2:18" ht="10.9" customHeight="1" thickBot="1" x14ac:dyDescent="0.3">
      <c r="D12" s="151"/>
      <c r="E12" s="151"/>
      <c r="F12" s="162"/>
      <c r="G12" s="162"/>
      <c r="H12" s="162"/>
      <c r="I12" s="162"/>
      <c r="J12" s="162"/>
      <c r="K12" s="163"/>
      <c r="L12" s="164"/>
      <c r="M12" s="151"/>
      <c r="N12" s="151"/>
    </row>
    <row r="13" spans="2:18" ht="21.6" customHeight="1" x14ac:dyDescent="0.25">
      <c r="B13" s="432" t="s">
        <v>111</v>
      </c>
      <c r="D13" s="165" t="s">
        <v>112</v>
      </c>
      <c r="E13" s="4"/>
      <c r="F13" s="4">
        <v>2020</v>
      </c>
      <c r="G13" s="4">
        <v>2021</v>
      </c>
      <c r="H13" s="4">
        <v>2022</v>
      </c>
      <c r="I13" s="4">
        <v>2023</v>
      </c>
      <c r="J13" s="4">
        <v>2024</v>
      </c>
      <c r="K13" s="156"/>
      <c r="L13" s="166"/>
      <c r="M13" s="151"/>
      <c r="N13" s="151"/>
    </row>
    <row r="14" spans="2:18" ht="16.149999999999999" customHeight="1" thickBot="1" x14ac:dyDescent="0.3">
      <c r="B14" s="433"/>
      <c r="D14" s="167" t="s">
        <v>113</v>
      </c>
      <c r="E14" s="168"/>
      <c r="F14" s="169"/>
      <c r="G14" s="169"/>
      <c r="H14" s="169"/>
      <c r="I14" s="169"/>
      <c r="J14" s="170"/>
      <c r="K14" s="171"/>
      <c r="L14" s="172"/>
      <c r="M14" s="151"/>
      <c r="N14" s="151"/>
    </row>
    <row r="15" spans="2:18" ht="16.149999999999999" customHeight="1" thickBot="1" x14ac:dyDescent="0.3">
      <c r="B15" s="433"/>
      <c r="D15" s="36" t="s">
        <v>124</v>
      </c>
      <c r="E15" s="37"/>
      <c r="F15" s="173"/>
      <c r="G15" s="108">
        <f>'Equilibre prévisionnel'!H10/'Equilibre prévisionnel'!H7*G10</f>
        <v>4762.0233309982541</v>
      </c>
      <c r="H15" s="108">
        <f>'Equilibre prévisionnel'!I10/'Equilibre prévisionnel'!I7*H10</f>
        <v>4925.2794901356328</v>
      </c>
      <c r="I15" s="38">
        <f>'Equilibre prévisionnel'!J10/'Equilibre prévisionnel'!J7*I10</f>
        <v>4906.4008397610542</v>
      </c>
      <c r="J15" s="38">
        <f>'Equilibre prévisionnel'!K10/'Equilibre prévisionnel'!K7*J10</f>
        <v>4968.1585236167803</v>
      </c>
      <c r="K15" s="174"/>
      <c r="L15" s="172"/>
      <c r="M15" s="159"/>
      <c r="N15" s="151"/>
    </row>
    <row r="16" spans="2:18" ht="16.149999999999999" customHeight="1" thickBot="1" x14ac:dyDescent="0.3">
      <c r="B16" s="433"/>
      <c r="D16" s="36" t="s">
        <v>125</v>
      </c>
      <c r="E16" s="37"/>
      <c r="F16" s="173"/>
      <c r="G16" s="395">
        <v>314.14775658689814</v>
      </c>
      <c r="H16" s="108">
        <v>340.54566174921814</v>
      </c>
      <c r="I16" s="38">
        <v>377.24756571647322</v>
      </c>
      <c r="J16" s="38">
        <v>364.31924096548789</v>
      </c>
      <c r="K16" s="174"/>
      <c r="L16" s="172"/>
      <c r="M16" s="175"/>
    </row>
    <row r="17" spans="2:15" ht="16.149999999999999" customHeight="1" thickBot="1" x14ac:dyDescent="0.3">
      <c r="B17" s="433"/>
      <c r="D17" s="36" t="s">
        <v>126</v>
      </c>
      <c r="E17" s="37"/>
      <c r="F17" s="173"/>
      <c r="G17" s="395">
        <f>IF($F$2&gt;G$7,'Montants réalisés'!E12,'Equilibre prévisionnel'!H12)</f>
        <v>4318</v>
      </c>
      <c r="H17" s="108">
        <f>IF($F$2&gt;H$7,'Montants réalisés'!F12,'Equilibre prévisionnel'!I12)</f>
        <v>4579.6526795343243</v>
      </c>
      <c r="I17" s="108">
        <f>IF($F$2&gt;I$7,'Montants réalisés'!G12,'Equilibre prévisionnel'!J12)</f>
        <v>4591.9399999999996</v>
      </c>
      <c r="J17" s="108">
        <f>IF($F$2&gt;J$7,'Montants réalisés'!H12,'Equilibre prévisionnel'!K12)</f>
        <v>4695.51</v>
      </c>
      <c r="K17" s="174"/>
      <c r="L17" s="172"/>
      <c r="M17" s="175"/>
    </row>
    <row r="18" spans="2:15" ht="16.149999999999999" customHeight="1" thickBot="1" x14ac:dyDescent="0.3">
      <c r="B18" s="433"/>
      <c r="D18" s="40" t="s">
        <v>127</v>
      </c>
      <c r="E18" s="394"/>
      <c r="F18" s="176"/>
      <c r="G18" s="395">
        <f>IF($F$2&gt;G$7,'Montants réalisés'!E13,'Equilibre prévisionnel'!H13/IPC!E18*IPC!E20)</f>
        <v>3726.4632338000001</v>
      </c>
      <c r="H18" s="395">
        <f>IF($F$2&gt;H$7,'Montants réalisés'!F13,'Equilibre prévisionnel'!I13/IPC!F18*IPC!F20)</f>
        <v>3539.6550346900003</v>
      </c>
      <c r="I18" s="395">
        <f>IF($F$2&gt;I$7,'Montants réalisés'!G13,'Equilibre prévisionnel'!J13/IPC!G18*IPC!G20)</f>
        <v>3743.4806244757197</v>
      </c>
      <c r="J18" s="395">
        <f>IF($F$2&gt;J$7,'Montants réalisés'!H13,'Equilibre prévisionnel'!K13/IPC!H18*IPC!H20)</f>
        <v>3810.5878051692625</v>
      </c>
      <c r="K18" s="174"/>
      <c r="L18" s="172"/>
      <c r="M18" s="172"/>
      <c r="N18" s="172"/>
      <c r="O18" s="172"/>
    </row>
    <row r="19" spans="2:15" ht="16.149999999999999" customHeight="1" thickBot="1" x14ac:dyDescent="0.3">
      <c r="B19" s="433"/>
      <c r="D19" s="40" t="s">
        <v>128</v>
      </c>
      <c r="E19" s="394"/>
      <c r="F19" s="176"/>
      <c r="G19" s="395">
        <f>IF($F$2&gt;G$7,'Montants réalisés'!E14,'Equilibre prévisionnel'!H14)</f>
        <v>27.501460999999999</v>
      </c>
      <c r="H19" s="395">
        <f>IF($F$2&gt;H$7,'Montants réalisés'!F14,'Equilibre prévisionnel'!I14)</f>
        <v>27.1135372</v>
      </c>
      <c r="I19" s="395">
        <f>IF($F$2&gt;I$7,'Montants réalisés'!G14,'Equilibre prévisionnel'!J14)</f>
        <v>33.19</v>
      </c>
      <c r="J19" s="395">
        <f>IF($F$2&gt;J$7,'Montants réalisés'!H14,'Equilibre prévisionnel'!K14)</f>
        <v>22.5</v>
      </c>
      <c r="K19" s="174"/>
      <c r="L19" s="172"/>
      <c r="M19" s="175"/>
    </row>
    <row r="20" spans="2:15" ht="16.149999999999999" customHeight="1" thickBot="1" x14ac:dyDescent="0.3">
      <c r="B20" s="433"/>
      <c r="D20" s="36" t="s">
        <v>129</v>
      </c>
      <c r="E20" s="37"/>
      <c r="F20" s="173"/>
      <c r="G20" s="395">
        <f>IF($F$2&gt;G$7,'Montants réalisés'!E15,'Equilibre prévisionnel'!H15)</f>
        <v>1471.722357948028</v>
      </c>
      <c r="H20" s="108">
        <f>IF($F$2&gt;H$7,'Montants réalisés'!F15,'Equilibre prévisionnel'!I15)</f>
        <v>2230.5618195064021</v>
      </c>
      <c r="I20" s="108">
        <f>IF($F$2&gt;I$7,'Montants réalisés'!G15,'Equilibre prévisionnel'!J15)</f>
        <v>1165.2368324741296</v>
      </c>
      <c r="J20" s="108">
        <f>IF($F$2&gt;J$7,'Montants réalisés'!H15,'Equilibre prévisionnel'!K15)</f>
        <v>1158.6066844761442</v>
      </c>
      <c r="K20" s="174"/>
      <c r="L20" s="172"/>
      <c r="M20" s="175"/>
    </row>
    <row r="21" spans="2:15" ht="16.149999999999999" customHeight="1" thickBot="1" x14ac:dyDescent="0.3">
      <c r="B21" s="433"/>
      <c r="D21" s="36" t="s">
        <v>130</v>
      </c>
      <c r="E21" s="37"/>
      <c r="F21" s="173"/>
      <c r="G21" s="108">
        <f>IF($F$2&gt;G$7,'Montants réalisés'!E16,'Equilibre prévisionnel'!H16)</f>
        <v>105.9</v>
      </c>
      <c r="H21" s="108">
        <f>IF($F$2&gt;H$7,'Montants réalisés'!F16,'Equilibre prévisionnel'!I16)</f>
        <v>88.9</v>
      </c>
      <c r="I21" s="108">
        <f>IF($F$2&gt;I$7,'Montants réalisés'!G16,'Equilibre prévisionnel'!J16)</f>
        <v>90</v>
      </c>
      <c r="J21" s="108">
        <f>IF($F$2&gt;J$7,'Montants réalisés'!H16,'Equilibre prévisionnel'!K16)</f>
        <v>90</v>
      </c>
      <c r="K21" s="174"/>
      <c r="L21" s="172"/>
      <c r="M21" s="175"/>
    </row>
    <row r="22" spans="2:15" ht="16.149999999999999" customHeight="1" thickBot="1" x14ac:dyDescent="0.3">
      <c r="B22" s="433"/>
      <c r="D22" s="36" t="s">
        <v>131</v>
      </c>
      <c r="E22" s="37"/>
      <c r="F22" s="173"/>
      <c r="G22" s="108">
        <f>IF($F$2&gt;G$7,'Montants réalisés'!E17,'Equilibre prévisionnel'!H17)</f>
        <v>232.57898116979635</v>
      </c>
      <c r="H22" s="108">
        <f>IF($F$2&gt;H$7,'Montants réalisés'!F17,'Equilibre prévisionnel'!I17)</f>
        <v>187.58324287310606</v>
      </c>
      <c r="I22" s="108">
        <f>IF($F$2&gt;I$7,'Montants réalisés'!G17,'Equilibre prévisionnel'!J17)</f>
        <v>239.77799999999999</v>
      </c>
      <c r="J22" s="108">
        <f>IF($F$2&gt;J$7,'Montants réalisés'!H17,'Equilibre prévisionnel'!K17)</f>
        <v>239.77799999999999</v>
      </c>
      <c r="K22" s="174"/>
      <c r="L22" s="172"/>
      <c r="M22" s="175"/>
    </row>
    <row r="23" spans="2:15" ht="32.1" customHeight="1" thickBot="1" x14ac:dyDescent="0.3">
      <c r="B23" s="433"/>
      <c r="D23" s="36" t="s">
        <v>132</v>
      </c>
      <c r="E23" s="37"/>
      <c r="F23" s="173"/>
      <c r="G23" s="108">
        <f>IF($F$2&gt;G$7,'Montants réalisés'!E18,'Equilibre prévisionnel'!H18)</f>
        <v>278.57581872999998</v>
      </c>
      <c r="H23" s="108">
        <f>IF($F$2&gt;H$7,'Montants réalisés'!F18,'Equilibre prévisionnel'!I18)</f>
        <v>296.40535540000002</v>
      </c>
      <c r="I23" s="108">
        <f>IF($F$2&gt;I$7,'Montants réalisés'!G18,'Equilibre prévisionnel'!J18)</f>
        <v>0</v>
      </c>
      <c r="J23" s="108">
        <f>IF($F$2&gt;J$7,'Montants réalisés'!H18,'Equilibre prévisionnel'!K18)</f>
        <v>0</v>
      </c>
      <c r="K23" s="174"/>
      <c r="L23" s="172"/>
      <c r="M23" s="175"/>
    </row>
    <row r="24" spans="2:15" ht="16.149999999999999" customHeight="1" thickBot="1" x14ac:dyDescent="0.3">
      <c r="B24" s="433"/>
      <c r="D24" s="36" t="s">
        <v>133</v>
      </c>
      <c r="E24" s="37"/>
      <c r="F24" s="173"/>
      <c r="G24" s="395">
        <f>IF($F$2&gt;G$7,'Montants réalisés'!E19,'Equilibre prévisionnel'!H19)</f>
        <v>1.6977869999999999</v>
      </c>
      <c r="H24" s="108">
        <f>IF($F$2&gt;H$7,'Montants réalisés'!F19,'Equilibre prévisionnel'!I19)</f>
        <v>2.7579884983554557</v>
      </c>
      <c r="I24" s="108">
        <f>IF($F$2&gt;I$7,'Montants réalisés'!G19,'Equilibre prévisionnel'!J19)</f>
        <v>0</v>
      </c>
      <c r="J24" s="108">
        <f>IF($F$2&gt;J$7,'Montants réalisés'!H19,'Equilibre prévisionnel'!K19)</f>
        <v>0</v>
      </c>
      <c r="K24" s="174"/>
      <c r="L24" s="172"/>
      <c r="M24" s="175"/>
    </row>
    <row r="25" spans="2:15" ht="16.149999999999999" customHeight="1" thickBot="1" x14ac:dyDescent="0.3">
      <c r="B25" s="433"/>
      <c r="D25" s="36" t="s">
        <v>134</v>
      </c>
      <c r="E25" s="37"/>
      <c r="F25" s="173"/>
      <c r="G25" s="108">
        <f>IF($F$2&gt;G$7,'Montants réalisés'!E20,'Equilibre prévisionnel'!H20)</f>
        <v>315.13504164800679</v>
      </c>
      <c r="H25" s="108">
        <f>IF($F$2&gt;H$7,'Montants réalisés'!F20,'Equilibre prévisionnel'!I20)</f>
        <v>317.8336366907082</v>
      </c>
      <c r="I25" s="108">
        <f>IF($F$2&gt;I$7,'Montants réalisés'!G20,'Equilibre prévisionnel'!J20)</f>
        <v>328.08615870544992</v>
      </c>
      <c r="J25" s="108">
        <f>IF($F$2&gt;J$7,'Montants réalisés'!H20,'Equilibre prévisionnel'!K20)</f>
        <v>331.06490325657211</v>
      </c>
      <c r="K25" s="174"/>
      <c r="L25" s="172"/>
      <c r="M25" s="175"/>
      <c r="N25" s="151"/>
    </row>
    <row r="26" spans="2:15" ht="16.149999999999999" customHeight="1" thickBot="1" x14ac:dyDescent="0.3">
      <c r="B26" s="433"/>
      <c r="D26" s="36" t="s">
        <v>135</v>
      </c>
      <c r="E26" s="37"/>
      <c r="F26" s="176"/>
      <c r="G26" s="108">
        <f>IF($F$2&gt;G$7,'Montants réalisés'!E21,'Equilibre prévisionnel'!H21)</f>
        <v>9.5999999999999992E-3</v>
      </c>
      <c r="H26" s="108">
        <f>IF($F$2&gt;H$7,'Montants réalisés'!F21,'Equilibre prévisionnel'!I21)</f>
        <v>0</v>
      </c>
      <c r="I26" s="108">
        <f>IF($F$2&gt;I$7,'Montants réalisés'!G21,'Equilibre prévisionnel'!J21)</f>
        <v>0</v>
      </c>
      <c r="J26" s="108">
        <f>IF($F$2&gt;J$7,'Montants réalisés'!H21,'Equilibre prévisionnel'!K21)</f>
        <v>0</v>
      </c>
      <c r="K26" s="174"/>
      <c r="L26" s="172"/>
      <c r="M26" s="175"/>
      <c r="N26" s="151"/>
    </row>
    <row r="27" spans="2:15" ht="16.149999999999999" customHeight="1" thickBot="1" x14ac:dyDescent="0.3">
      <c r="B27" s="433"/>
      <c r="D27" s="36" t="s">
        <v>136</v>
      </c>
      <c r="E27" s="37"/>
      <c r="F27" s="173"/>
      <c r="G27" s="108">
        <f>IF($F$2&gt;G$7,'Montants réalisés'!E22,'Equilibre prévisionnel'!H22)</f>
        <v>0</v>
      </c>
      <c r="H27" s="108">
        <f>IF($F$2&gt;H$7,'Montants réalisés'!F22,'Equilibre prévisionnel'!I22)</f>
        <v>0</v>
      </c>
      <c r="I27" s="108">
        <f>IF($F$2&gt;I$7,'Montants réalisés'!G22,'Equilibre prévisionnel'!J22)</f>
        <v>0</v>
      </c>
      <c r="J27" s="108">
        <f>IF($F$2&gt;J$7,'Montants réalisés'!H22,'Equilibre prévisionnel'!K22)</f>
        <v>0</v>
      </c>
      <c r="K27" s="174"/>
      <c r="L27" s="172"/>
      <c r="M27" s="175"/>
      <c r="N27" s="151"/>
    </row>
    <row r="28" spans="2:15" ht="32.1" customHeight="1" thickBot="1" x14ac:dyDescent="0.3">
      <c r="B28" s="433"/>
      <c r="D28" s="36" t="s">
        <v>137</v>
      </c>
      <c r="E28" s="37"/>
      <c r="F28" s="173"/>
      <c r="G28" s="108">
        <f>IF($F$2&gt;G$7,'Montants réalisés'!E23,'Equilibre prévisionnel'!H23)</f>
        <v>0</v>
      </c>
      <c r="H28" s="108">
        <f>IF($F$2&gt;H$7,'Montants réalisés'!F23,'Equilibre prévisionnel'!I23)</f>
        <v>0</v>
      </c>
      <c r="I28" s="108">
        <f>IF($F$2&gt;I$7,'Montants réalisés'!G23,'Equilibre prévisionnel'!J23)</f>
        <v>0</v>
      </c>
      <c r="J28" s="108">
        <f>IF($F$2&gt;J$7,'Montants réalisés'!H23,'Equilibre prévisionnel'!K23)</f>
        <v>0</v>
      </c>
      <c r="K28" s="174"/>
      <c r="L28" s="172"/>
      <c r="M28" s="175"/>
      <c r="N28" s="151"/>
    </row>
    <row r="29" spans="2:15" ht="16.149999999999999" customHeight="1" thickBot="1" x14ac:dyDescent="0.3">
      <c r="B29" s="433"/>
      <c r="D29" s="36" t="s">
        <v>138</v>
      </c>
      <c r="E29" s="37"/>
      <c r="F29" s="173"/>
      <c r="G29" s="108">
        <f>IF($F$2&gt;G$7,'Montants réalisés'!E24,'Equilibre prévisionnel'!H24)</f>
        <v>-41.289303725154241</v>
      </c>
      <c r="H29" s="108">
        <f>IF($F$2&gt;H$7,'Montants réalisés'!F24,'Equilibre prévisionnel'!I24)</f>
        <v>-187.5598840552866</v>
      </c>
      <c r="I29" s="108">
        <f>IF($F$2&gt;I$7,'Montants réalisés'!G24,'Equilibre prévisionnel'!J24)</f>
        <v>33.352689307814217</v>
      </c>
      <c r="J29" s="108">
        <f>IF($F$2&gt;J$7,'Montants réalisés'!H24,'Equilibre prévisionnel'!K24)</f>
        <v>203.50248886715417</v>
      </c>
      <c r="K29" s="174"/>
      <c r="L29" s="172"/>
      <c r="M29" s="175"/>
      <c r="N29" s="151"/>
    </row>
    <row r="30" spans="2:15" ht="16.149999999999999" customHeight="1" thickBot="1" x14ac:dyDescent="0.3">
      <c r="B30" s="433"/>
      <c r="D30" s="177" t="s">
        <v>114</v>
      </c>
      <c r="E30" s="41"/>
      <c r="F30" s="178"/>
      <c r="G30" s="409"/>
      <c r="H30" s="64"/>
      <c r="I30" s="179"/>
      <c r="J30" s="65"/>
      <c r="K30" s="180"/>
      <c r="L30" s="172"/>
      <c r="M30" s="181"/>
      <c r="N30" s="151"/>
    </row>
    <row r="31" spans="2:15" ht="16.149999999999999" customHeight="1" thickBot="1" x14ac:dyDescent="0.3">
      <c r="B31" s="433"/>
      <c r="D31" s="25" t="s">
        <v>28</v>
      </c>
      <c r="E31" s="37"/>
      <c r="F31" s="173"/>
      <c r="G31" s="108">
        <f>IF($F$2&gt;G$7,'Montants réalisés'!E26,'Equilibre prévisionnel'!H26)</f>
        <v>848.15524284000003</v>
      </c>
      <c r="H31" s="108">
        <f>IF($F$2&gt;H$7,'Montants réalisés'!F26,'Equilibre prévisionnel'!I26)</f>
        <v>888.07076073999997</v>
      </c>
      <c r="I31" s="108">
        <f>IF($F$2&gt;I$7,'Montants réalisés'!G26,'Equilibre prévisionnel'!J26)</f>
        <v>820.85706919078302</v>
      </c>
      <c r="J31" s="108">
        <f>IF($F$2&gt;J$7,'Montants réalisés'!H26,'Equilibre prévisionnel'!K26)</f>
        <v>920.26589868223004</v>
      </c>
      <c r="K31" s="174"/>
      <c r="L31" s="172"/>
      <c r="M31" s="175"/>
      <c r="N31" s="182"/>
    </row>
    <row r="32" spans="2:15" ht="16.149999999999999" customHeight="1" thickBot="1" x14ac:dyDescent="0.3">
      <c r="B32" s="433"/>
      <c r="D32" s="36" t="s">
        <v>77</v>
      </c>
      <c r="E32" s="37"/>
      <c r="F32" s="173"/>
      <c r="G32" s="38">
        <f>IF($F$2&gt;G$7,'Montants réalisés'!E27,'Equilibre prévisionnel'!H27)</f>
        <v>0.45302880000000006</v>
      </c>
      <c r="H32" s="38">
        <f>IF($F$2&gt;H$7,'Montants réalisés'!F27,'Equilibre prévisionnel'!I27)</f>
        <v>6.3763576000000004</v>
      </c>
      <c r="I32" s="38">
        <f>IF($F$2&gt;I$7,'Montants réalisés'!G27,'Equilibre prévisionnel'!J27)</f>
        <v>0</v>
      </c>
      <c r="J32" s="38">
        <f>IF($F$2&gt;J$7,'Montants réalisés'!H27,'Equilibre prévisionnel'!K27)</f>
        <v>0</v>
      </c>
      <c r="K32" s="174"/>
      <c r="L32" s="172"/>
      <c r="M32" s="175"/>
      <c r="N32" s="423"/>
    </row>
    <row r="33" spans="2:14" ht="16.149999999999999" customHeight="1" thickBot="1" x14ac:dyDescent="0.3">
      <c r="B33" s="433"/>
      <c r="D33" s="36" t="s">
        <v>78</v>
      </c>
      <c r="E33" s="37"/>
      <c r="F33" s="173"/>
      <c r="G33" s="108">
        <f>IF($F$2&gt;G$7,'Montants réalisés'!E28,'Equilibre prévisionnel'!H28)</f>
        <v>0</v>
      </c>
      <c r="H33" s="38">
        <f>IF($F$2&gt;H$7,'Montants réalisés'!F28,'Equilibre prévisionnel'!I28)</f>
        <v>0</v>
      </c>
      <c r="I33" s="38">
        <f>IF($F$2&gt;I$7,'Montants réalisés'!G28,'Equilibre prévisionnel'!J28)</f>
        <v>0</v>
      </c>
      <c r="J33" s="38">
        <f>IF($F$2&gt;J$7,'Montants réalisés'!H28,'Equilibre prévisionnel'!K28)</f>
        <v>0</v>
      </c>
      <c r="K33" s="174"/>
      <c r="L33" s="172"/>
      <c r="M33" s="175"/>
      <c r="N33" s="182"/>
    </row>
    <row r="34" spans="2:14" ht="32.1" customHeight="1" thickBot="1" x14ac:dyDescent="0.3">
      <c r="B34" s="433"/>
      <c r="D34" s="36" t="s">
        <v>79</v>
      </c>
      <c r="E34" s="37"/>
      <c r="F34" s="173"/>
      <c r="G34" s="108">
        <f>IF($F$2&gt;G$7,'Montants réalisés'!E29,'Equilibre prévisionnel'!H29)</f>
        <v>0</v>
      </c>
      <c r="H34" s="38">
        <f>IF($F$2&gt;H$7,'Montants réalisés'!F29,'Equilibre prévisionnel'!I29)</f>
        <v>0</v>
      </c>
      <c r="I34" s="38">
        <f>IF($F$2&gt;I$7,'Montants réalisés'!G29,'Equilibre prévisionnel'!J29)</f>
        <v>0</v>
      </c>
      <c r="J34" s="38">
        <f>IF($F$2&gt;J$7,'Montants réalisés'!H29,'Equilibre prévisionnel'!K29)</f>
        <v>0</v>
      </c>
      <c r="K34" s="174"/>
      <c r="L34" s="172"/>
      <c r="M34" s="175"/>
      <c r="N34" s="182"/>
    </row>
    <row r="35" spans="2:14" ht="16.149999999999999" customHeight="1" thickBot="1" x14ac:dyDescent="0.3">
      <c r="B35" s="433"/>
      <c r="D35" s="167" t="s">
        <v>115</v>
      </c>
      <c r="E35" s="168"/>
      <c r="F35" s="183"/>
      <c r="G35" s="410"/>
      <c r="H35" s="64"/>
      <c r="I35" s="179"/>
      <c r="J35" s="65"/>
      <c r="K35" s="184"/>
      <c r="L35" s="172"/>
      <c r="M35" s="175"/>
      <c r="N35" s="182"/>
    </row>
    <row r="36" spans="2:14" ht="16.149999999999999" customHeight="1" thickBot="1" x14ac:dyDescent="0.3">
      <c r="B36" s="433"/>
      <c r="D36" s="40" t="s">
        <v>31</v>
      </c>
      <c r="E36" s="37"/>
      <c r="F36" s="173"/>
      <c r="G36" s="108">
        <f>IF($F$2&gt;G$7,'Montants réalisés'!E31,'Equilibre prévisionnel'!H31)</f>
        <v>-26.276268701357601</v>
      </c>
      <c r="H36" s="38">
        <f>IF($F$2&gt;H$7,'Montants réalisés'!F31,'Equilibre prévisionnel'!I31)</f>
        <v>-16.789883903638799</v>
      </c>
      <c r="I36" s="38">
        <f>IF($F$2&gt;I$7,'Montants réalisés'!G31,'Equilibre prévisionnel'!J31)</f>
        <v>0</v>
      </c>
      <c r="J36" s="38">
        <f>IF($F$2&gt;J$7,'Montants réalisés'!H31,'Equilibre prévisionnel'!K31)</f>
        <v>0</v>
      </c>
      <c r="K36" s="174"/>
      <c r="L36" s="162"/>
      <c r="M36" s="175"/>
      <c r="N36" s="151"/>
    </row>
    <row r="37" spans="2:14" ht="16.149999999999999" customHeight="1" thickBot="1" x14ac:dyDescent="0.3">
      <c r="B37" s="433"/>
      <c r="D37" s="40" t="s">
        <v>32</v>
      </c>
      <c r="E37" s="37"/>
      <c r="F37" s="173"/>
      <c r="G37" s="108">
        <f>IF($F$2&gt;G$7,'Montants réalisés'!E32,'Equilibre prévisionnel'!H32)</f>
        <v>15.777294810000001</v>
      </c>
      <c r="H37" s="38">
        <f>IF($F$2&gt;H$7,'Montants réalisés'!F32,'Equilibre prévisionnel'!I32)</f>
        <v>16.799572929498002</v>
      </c>
      <c r="I37" s="38">
        <f>IF($F$2&gt;I$7,'Montants réalisés'!G32,'Equilibre prévisionnel'!J32)</f>
        <v>0</v>
      </c>
      <c r="J37" s="38">
        <f>IF($F$2&gt;J$7,'Montants réalisés'!H32,'Equilibre prévisionnel'!K32)</f>
        <v>0</v>
      </c>
      <c r="K37" s="174"/>
      <c r="L37" s="162"/>
      <c r="M37" s="175"/>
      <c r="N37" s="151"/>
    </row>
    <row r="38" spans="2:14" ht="16.149999999999999" customHeight="1" thickBot="1" x14ac:dyDescent="0.3">
      <c r="B38" s="433"/>
      <c r="D38" s="40" t="s">
        <v>80</v>
      </c>
      <c r="E38" s="37"/>
      <c r="F38" s="173"/>
      <c r="G38" s="108">
        <f>IF($F$2&gt;G$7,'Montants réalisés'!E33,'Equilibre prévisionnel'!H33)</f>
        <v>65.447557950000004</v>
      </c>
      <c r="H38" s="38">
        <f>IF($F$2&gt;H$7,'Montants réalisés'!F33,'Equilibre prévisionnel'!I33)</f>
        <v>18.330988384619999</v>
      </c>
      <c r="I38" s="38">
        <f>IF($F$2&gt;I$7,'Montants réalisés'!G33,'Equilibre prévisionnel'!J33)</f>
        <v>0</v>
      </c>
      <c r="J38" s="38">
        <f>IF($F$2&gt;J$7,'Montants réalisés'!H33,'Equilibre prévisionnel'!K33)</f>
        <v>0</v>
      </c>
      <c r="K38" s="174"/>
      <c r="L38" s="162"/>
      <c r="M38" s="175"/>
      <c r="N38" s="151"/>
    </row>
    <row r="39" spans="2:14" ht="16.149999999999999" customHeight="1" thickBot="1" x14ac:dyDescent="0.3">
      <c r="B39" s="433"/>
      <c r="D39" s="40" t="s">
        <v>33</v>
      </c>
      <c r="E39" s="37"/>
      <c r="F39" s="173"/>
      <c r="G39" s="108">
        <f>IF($F$2&gt;G$7,'Montants réalisés'!E34,'Equilibre prévisionnel'!H34)</f>
        <v>-14.050566379999999</v>
      </c>
      <c r="H39" s="38">
        <f>IF($F$2&gt;H$7,'Montants réalisés'!F34,'Equilibre prévisionnel'!I34)</f>
        <v>-10.1957077625772</v>
      </c>
      <c r="I39" s="38">
        <f>IF($F$2&gt;I$7,'Montants réalisés'!G34,'Equilibre prévisionnel'!J34)</f>
        <v>0</v>
      </c>
      <c r="J39" s="38">
        <f>IF($F$2&gt;J$7,'Montants réalisés'!H34,'Equilibre prévisionnel'!K34)</f>
        <v>0</v>
      </c>
      <c r="K39" s="174"/>
      <c r="L39" s="162"/>
      <c r="M39" s="175"/>
      <c r="N39" s="151"/>
    </row>
    <row r="40" spans="2:14" ht="16.149999999999999" customHeight="1" thickBot="1" x14ac:dyDescent="0.3">
      <c r="B40" s="433"/>
      <c r="D40" s="40" t="s">
        <v>81</v>
      </c>
      <c r="E40" s="37"/>
      <c r="F40" s="173"/>
      <c r="G40" s="108">
        <f>IF($F$2&gt;G$7,'Montants réalisés'!E35,'Equilibre prévisionnel'!H35)</f>
        <v>-1.3547041900000001</v>
      </c>
      <c r="H40" s="38">
        <f>IF($F$2&gt;H$7,'Montants réalisés'!F35,'Equilibre prévisionnel'!I35)</f>
        <v>3</v>
      </c>
      <c r="I40" s="38">
        <f>IF($F$2&gt;I$7,'Montants réalisés'!G35,'Equilibre prévisionnel'!J35)</f>
        <v>0</v>
      </c>
      <c r="J40" s="38">
        <f>IF($F$2&gt;J$7,'Montants réalisés'!H35,'Equilibre prévisionnel'!K35)</f>
        <v>0</v>
      </c>
      <c r="K40" s="174"/>
      <c r="L40" s="185"/>
      <c r="M40" s="175"/>
      <c r="N40" s="186"/>
    </row>
    <row r="41" spans="2:14" ht="16.149999999999999" customHeight="1" thickBot="1" x14ac:dyDescent="0.3">
      <c r="B41" s="433"/>
      <c r="D41" s="40" t="s">
        <v>82</v>
      </c>
      <c r="E41" s="37"/>
      <c r="F41" s="173"/>
      <c r="G41" s="108">
        <f>IF($F$2&gt;G$7,'Montants réalisés'!E36,'Equilibre prévisionnel'!H36)</f>
        <v>0</v>
      </c>
      <c r="H41" s="38">
        <f>IF($F$2&gt;H$7,'Montants réalisés'!F36,'Equilibre prévisionnel'!I36)</f>
        <v>0</v>
      </c>
      <c r="I41" s="38">
        <f>IF($F$2&gt;I$7,'Montants réalisés'!G36,'Equilibre prévisionnel'!J36)</f>
        <v>0</v>
      </c>
      <c r="J41" s="38">
        <f>IF($F$2&gt;J$7,'Montants réalisés'!H36,'Equilibre prévisionnel'!K36)</f>
        <v>0</v>
      </c>
      <c r="K41" s="174"/>
      <c r="L41" s="185"/>
      <c r="M41" s="175"/>
      <c r="N41" s="186"/>
    </row>
    <row r="42" spans="2:14" ht="16.149999999999999" customHeight="1" thickBot="1" x14ac:dyDescent="0.3">
      <c r="B42" s="433"/>
      <c r="D42" s="40" t="s">
        <v>83</v>
      </c>
      <c r="E42" s="37"/>
      <c r="F42" s="37"/>
      <c r="G42" s="108">
        <f>IF($F$2&gt;G$7,'Montants réalisés'!E37,'Equilibre prévisionnel'!H37)</f>
        <v>0</v>
      </c>
      <c r="H42" s="38">
        <f>IF($F$2&gt;H$7,'Montants réalisés'!F37,'Equilibre prévisionnel'!I37)</f>
        <v>0</v>
      </c>
      <c r="I42" s="38">
        <f>IF($F$2&gt;I$7,'Montants réalisés'!G37,'Equilibre prévisionnel'!J37)</f>
        <v>0</v>
      </c>
      <c r="J42" s="38">
        <f>IF($F$2&gt;J$7,'Montants réalisés'!H37,'Equilibre prévisionnel'!K37)</f>
        <v>0</v>
      </c>
      <c r="K42" s="187"/>
      <c r="L42" s="172"/>
      <c r="M42" s="151"/>
      <c r="N42" s="151"/>
    </row>
    <row r="43" spans="2:14" ht="16.149999999999999" customHeight="1" thickBot="1" x14ac:dyDescent="0.3">
      <c r="B43" s="433"/>
      <c r="D43" s="239"/>
      <c r="E43" s="41"/>
      <c r="F43" s="41"/>
      <c r="G43" s="409"/>
      <c r="H43" s="64"/>
      <c r="I43" s="64"/>
      <c r="J43" s="65"/>
      <c r="K43" s="187"/>
      <c r="L43" s="172"/>
      <c r="M43" s="151"/>
      <c r="N43" s="151"/>
    </row>
    <row r="44" spans="2:14" ht="16.149999999999999" customHeight="1" thickBot="1" x14ac:dyDescent="0.3">
      <c r="B44" s="433"/>
      <c r="D44" s="40" t="s">
        <v>84</v>
      </c>
      <c r="E44" s="37"/>
      <c r="F44" s="37"/>
      <c r="G44" s="108">
        <f>'Equilibre prévisionnel'!H39</f>
        <v>153.32383387805268</v>
      </c>
      <c r="H44" s="108">
        <f>'Equilibre prévisionnel'!I39</f>
        <v>153.32383387805268</v>
      </c>
      <c r="I44" s="108">
        <f>'Equilibre prévisionnel'!J39</f>
        <v>153.32383387805268</v>
      </c>
      <c r="J44" s="108">
        <f>'Equilibre prévisionnel'!K39</f>
        <v>153.32383387805268</v>
      </c>
      <c r="K44" s="187"/>
      <c r="L44" s="172"/>
      <c r="M44" s="151"/>
      <c r="N44" s="151"/>
    </row>
    <row r="45" spans="2:14" ht="16.149999999999999" customHeight="1" thickBot="1" x14ac:dyDescent="0.3">
      <c r="B45" s="433"/>
      <c r="D45" s="40" t="s">
        <v>37</v>
      </c>
      <c r="E45" s="37"/>
      <c r="F45" s="37"/>
      <c r="G45" s="108">
        <f>'Equilibre prévisionnel'!H41</f>
        <v>228</v>
      </c>
      <c r="H45" s="108">
        <f>'Equilibre prévisionnel'!I41</f>
        <v>7</v>
      </c>
      <c r="I45" s="108">
        <f>'Equilibre prévisionnel'!J41</f>
        <v>-165</v>
      </c>
      <c r="J45" s="108">
        <f>'Equilibre prévisionnel'!K41</f>
        <v>-291</v>
      </c>
      <c r="K45" s="187"/>
      <c r="L45" s="172"/>
      <c r="M45" s="151"/>
      <c r="N45" s="151"/>
    </row>
    <row r="46" spans="2:14" ht="16.149999999999999" customHeight="1" thickBot="1" x14ac:dyDescent="0.3">
      <c r="B46" s="433"/>
      <c r="D46" s="239"/>
      <c r="E46" s="41"/>
      <c r="F46" s="41"/>
      <c r="G46" s="64"/>
      <c r="H46" s="64"/>
      <c r="I46" s="64"/>
      <c r="J46" s="65"/>
      <c r="K46" s="187"/>
      <c r="L46" s="172"/>
      <c r="M46" s="151"/>
      <c r="N46" s="151"/>
    </row>
    <row r="47" spans="2:14" ht="16.149999999999999" customHeight="1" thickBot="1" x14ac:dyDescent="0.3">
      <c r="B47" s="433"/>
      <c r="D47" s="188" t="s">
        <v>116</v>
      </c>
      <c r="E47" s="37"/>
      <c r="F47" s="37"/>
      <c r="G47" s="241">
        <f>SUM(G15:G29)-SUM(G31:G34)+SUM(G36:G42)+G44-G45</f>
        <v>14628.724940882525</v>
      </c>
      <c r="H47" s="241">
        <f t="shared" ref="H47:I47" si="1">SUM(H15:H29)-SUM(H31:H34)+SUM(H36:H42)+H44-H45</f>
        <v>15611.750247408414</v>
      </c>
      <c r="I47" s="241">
        <f t="shared" si="1"/>
        <v>15006.17947512791</v>
      </c>
      <c r="J47" s="241">
        <f>SUM(J15:J29)-SUM(J31:J34)+SUM(J36:J42)+J44-J45</f>
        <v>15408.085581547224</v>
      </c>
      <c r="K47" s="187"/>
      <c r="L47" s="189"/>
      <c r="M47" s="151"/>
      <c r="N47" s="151"/>
    </row>
    <row r="48" spans="2:14" ht="10.9" customHeight="1" thickBot="1" x14ac:dyDescent="0.3">
      <c r="B48" s="190"/>
      <c r="D48" s="191"/>
      <c r="E48" s="192"/>
      <c r="F48" s="193"/>
      <c r="G48" s="193"/>
      <c r="H48" s="193"/>
      <c r="I48" s="193"/>
      <c r="J48" s="193" t="s">
        <v>117</v>
      </c>
      <c r="K48" s="193"/>
      <c r="L48" s="172"/>
      <c r="M48" s="151"/>
      <c r="N48" s="151"/>
    </row>
    <row r="49" spans="2:16" ht="21.6" customHeight="1" thickBot="1" x14ac:dyDescent="0.3">
      <c r="B49" s="432" t="s">
        <v>35</v>
      </c>
      <c r="D49" s="68" t="s">
        <v>118</v>
      </c>
      <c r="E49" s="4"/>
      <c r="F49" s="4">
        <v>2020</v>
      </c>
      <c r="G49" s="4">
        <v>2021</v>
      </c>
      <c r="H49" s="4">
        <v>2022</v>
      </c>
      <c r="I49" s="4">
        <v>2023</v>
      </c>
      <c r="J49" s="4">
        <v>2024</v>
      </c>
      <c r="K49" s="4">
        <v>2025</v>
      </c>
      <c r="L49" s="153"/>
      <c r="M49" s="151"/>
      <c r="N49" s="151"/>
    </row>
    <row r="50" spans="2:16" ht="17.25" customHeight="1" thickBot="1" x14ac:dyDescent="0.3">
      <c r="B50" s="433"/>
      <c r="D50" s="242" t="s">
        <v>142</v>
      </c>
      <c r="E50" s="243"/>
      <c r="F50" s="244"/>
      <c r="G50" s="245">
        <v>161.37314255864578</v>
      </c>
      <c r="H50" s="245">
        <f>G58+G59</f>
        <v>126.7756513654933</v>
      </c>
      <c r="I50" s="245">
        <f>H58+H59</f>
        <v>1303.5107552017657</v>
      </c>
      <c r="J50" s="245">
        <f>I58+I59</f>
        <v>1177.9664006207436</v>
      </c>
      <c r="K50" s="245">
        <f>J58+J59</f>
        <v>586.76172138243908</v>
      </c>
      <c r="L50" s="153"/>
      <c r="M50" s="151"/>
      <c r="N50" s="151"/>
    </row>
    <row r="51" spans="2:16" ht="17.25" customHeight="1" thickBot="1" x14ac:dyDescent="0.3">
      <c r="B51" s="433"/>
      <c r="D51" s="404" t="s">
        <v>414</v>
      </c>
      <c r="E51" s="243"/>
      <c r="F51" s="244"/>
      <c r="G51" s="252">
        <f>G50+G53-G55</f>
        <v>152.70192337080334</v>
      </c>
      <c r="H51" s="252">
        <f>H50+H53-H55</f>
        <v>108.37419923451489</v>
      </c>
      <c r="I51" s="252">
        <f>I50+I53-I55</f>
        <v>665.32795685976635</v>
      </c>
      <c r="J51" s="252">
        <f>J50+J53-J55</f>
        <v>-220.55133652079894</v>
      </c>
      <c r="K51" s="246"/>
      <c r="L51" s="153"/>
      <c r="M51" s="151"/>
      <c r="N51" s="151"/>
    </row>
    <row r="52" spans="2:16" ht="17.25" customHeight="1" thickBot="1" x14ac:dyDescent="0.3">
      <c r="B52" s="433"/>
      <c r="D52" s="40" t="s">
        <v>116</v>
      </c>
      <c r="E52" s="243"/>
      <c r="F52" s="244"/>
      <c r="G52" s="108">
        <f>G47</f>
        <v>14628.724940882525</v>
      </c>
      <c r="H52" s="108">
        <f t="shared" ref="H52:J52" si="2">H47</f>
        <v>15611.750247408414</v>
      </c>
      <c r="I52" s="108">
        <f t="shared" si="2"/>
        <v>15006.17947512791</v>
      </c>
      <c r="J52" s="108">
        <f t="shared" si="2"/>
        <v>15408.085581547224</v>
      </c>
      <c r="K52" s="246"/>
      <c r="L52" s="448"/>
      <c r="M52" s="145"/>
      <c r="N52" s="406"/>
    </row>
    <row r="53" spans="2:16" ht="17.25" customHeight="1" thickBot="1" x14ac:dyDescent="0.3">
      <c r="B53" s="433"/>
      <c r="D53" s="40" t="s">
        <v>411</v>
      </c>
      <c r="E53" s="243"/>
      <c r="F53" s="244"/>
      <c r="G53" s="108">
        <f>'Equilibre prévisionnel'!H44-'Equilibre prévisionnel'!H10+'CRCP &amp; Evolutions'!G15</f>
        <v>14102.849373828722</v>
      </c>
      <c r="H53" s="108">
        <f>'Equilibre prévisionnel'!I44-'Equilibre prévisionnel'!I10+'CRCP &amp; Evolutions'!H15</f>
        <v>14483.602703891953</v>
      </c>
      <c r="I53" s="108">
        <f>'Equilibre prévisionnel'!J44-'Equilibre prévisionnel'!J10+'CRCP &amp; Evolutions'!I15</f>
        <v>14953.454738916626</v>
      </c>
      <c r="J53" s="108">
        <f>'Equilibre prévisionnel'!K44-'Equilibre prévisionnel'!K10+'CRCP &amp; Evolutions'!J15</f>
        <v>15343.397248299356</v>
      </c>
      <c r="K53" s="246"/>
      <c r="L53" s="448"/>
      <c r="M53" s="145"/>
      <c r="N53" s="406"/>
      <c r="O53" s="424"/>
    </row>
    <row r="54" spans="2:16" ht="17.25" customHeight="1" thickBot="1" x14ac:dyDescent="0.3">
      <c r="B54" s="433"/>
      <c r="D54" s="40" t="s">
        <v>416</v>
      </c>
      <c r="E54" s="243"/>
      <c r="F54" s="244"/>
      <c r="G54" s="108">
        <f>IF($F$2&gt;G7,'Montants réalisés'!E40,'Equilibre prévisionnel'!H49*'CRCP &amp; Evolutions'!F72+'Equilibre prévisionnel'!H50*G72)</f>
        <v>14665.441592422987</v>
      </c>
      <c r="H54" s="108">
        <f>IF($F$2&gt;H7,'Montants réalisés'!F40,'Equilibre prévisionnel'!I49*'CRCP &amp; Evolutions'!G72+'Equilibre prévisionnel'!I50*H72)</f>
        <v>14456.804408899998</v>
      </c>
      <c r="I54" s="108">
        <f>IF($F$2&gt;I7,'Montants réalisés'!G40,'Equilibre prévisionnel'!J49*'CRCP &amp; Evolutions'!H72+'Equilibre prévisionnel'!J50*I72)</f>
        <v>15151.414516838286</v>
      </c>
      <c r="J54" s="108">
        <f>IF($F$2&gt;J7,'Montants réalisés'!H40,'Equilibre prévisionnel'!K49*'CRCP &amp; Evolutions'!I72+'Equilibre prévisionnel'!K50*J72)</f>
        <v>16009.098470484152</v>
      </c>
      <c r="K54" s="246"/>
      <c r="L54" s="448"/>
      <c r="M54" s="406"/>
      <c r="N54" s="421"/>
    </row>
    <row r="55" spans="2:16" ht="17.25" customHeight="1" thickBot="1" x14ac:dyDescent="0.3">
      <c r="B55" s="433"/>
      <c r="D55" s="40" t="s">
        <v>412</v>
      </c>
      <c r="E55" s="243"/>
      <c r="F55" s="244"/>
      <c r="G55" s="108">
        <f>'Equilibre prévisionnel'!H55*F72+'Equilibre prévisionnel'!H56*G72</f>
        <v>14111.520593016565</v>
      </c>
      <c r="H55" s="108">
        <f>'Equilibre prévisionnel'!I55*G72+'Equilibre prévisionnel'!I56*H72</f>
        <v>14502.004156022931</v>
      </c>
      <c r="I55" s="108">
        <f>'Equilibre prévisionnel'!J55*H72+'Equilibre prévisionnel'!J56*I72</f>
        <v>15591.637537258624</v>
      </c>
      <c r="J55" s="108">
        <f>'Equilibre prévisionnel'!K55*I72+'Equilibre prévisionnel'!K56*J72</f>
        <v>16741.914985440897</v>
      </c>
      <c r="K55" s="246"/>
      <c r="L55" s="448"/>
      <c r="M55" s="145"/>
      <c r="N55" s="406"/>
    </row>
    <row r="56" spans="2:16" ht="17.25" customHeight="1" thickBot="1" x14ac:dyDescent="0.3">
      <c r="B56" s="433"/>
      <c r="D56" s="405" t="s">
        <v>415</v>
      </c>
      <c r="E56" s="243"/>
      <c r="F56" s="244"/>
      <c r="G56" s="130">
        <f>(G52-G53)-(G54-G55)</f>
        <v>-28.045432352619173</v>
      </c>
      <c r="H56" s="130">
        <f t="shared" ref="H56:J56" si="3">(H52-H53)-(H54-H55)</f>
        <v>1173.3472906393945</v>
      </c>
      <c r="I56" s="130">
        <f t="shared" si="3"/>
        <v>492.94775663162363</v>
      </c>
      <c r="J56" s="130">
        <f t="shared" si="3"/>
        <v>797.50484820461315</v>
      </c>
      <c r="K56" s="246"/>
      <c r="L56" s="448"/>
      <c r="M56" s="145"/>
      <c r="N56" s="425"/>
    </row>
    <row r="57" spans="2:16" ht="17.25" customHeight="1" thickBot="1" x14ac:dyDescent="0.3">
      <c r="B57" s="433"/>
      <c r="D57" s="40" t="s">
        <v>413</v>
      </c>
      <c r="E57" s="250"/>
      <c r="F57" s="251"/>
      <c r="G57" s="251"/>
      <c r="H57" s="251"/>
      <c r="I57" s="251"/>
      <c r="J57" s="108"/>
      <c r="K57" s="246"/>
      <c r="L57" s="448"/>
      <c r="M57" s="406"/>
      <c r="P57" s="424"/>
    </row>
    <row r="58" spans="2:16" ht="17.25" customHeight="1" thickBot="1" x14ac:dyDescent="0.3">
      <c r="B58" s="433"/>
      <c r="D58" s="404" t="s">
        <v>140</v>
      </c>
      <c r="E58" s="243"/>
      <c r="F58" s="244"/>
      <c r="G58" s="252">
        <f>G51+G56</f>
        <v>124.65649101818417</v>
      </c>
      <c r="H58" s="252">
        <f>H51+H56</f>
        <v>1281.7214898739094</v>
      </c>
      <c r="I58" s="252">
        <f t="shared" ref="I58:J58" si="4">I51+I56</f>
        <v>1158.27571349139</v>
      </c>
      <c r="J58" s="252">
        <f t="shared" si="4"/>
        <v>576.95351168381421</v>
      </c>
      <c r="K58" s="246"/>
      <c r="L58" s="153"/>
      <c r="M58" s="421"/>
      <c r="N58" s="421"/>
    </row>
    <row r="59" spans="2:16" ht="17.100000000000001" customHeight="1" thickBot="1" x14ac:dyDescent="0.3">
      <c r="B59" s="433"/>
      <c r="D59" s="36" t="s">
        <v>141</v>
      </c>
      <c r="E59" s="37"/>
      <c r="F59" s="38">
        <f>F47</f>
        <v>0</v>
      </c>
      <c r="G59" s="108">
        <f>G58*$E$4</f>
        <v>2.1191603473091312</v>
      </c>
      <c r="H59" s="108">
        <f t="shared" ref="H59:J59" si="5">H58*$E$4</f>
        <v>21.789265327856462</v>
      </c>
      <c r="I59" s="108">
        <f t="shared" si="5"/>
        <v>19.690687129353631</v>
      </c>
      <c r="J59" s="108">
        <f t="shared" si="5"/>
        <v>9.808209698624843</v>
      </c>
      <c r="K59" s="196"/>
      <c r="L59" s="195"/>
      <c r="M59" s="175"/>
    </row>
    <row r="60" spans="2:16" ht="10.9" customHeight="1" thickBot="1" x14ac:dyDescent="0.3">
      <c r="B60" s="190"/>
      <c r="D60" s="247"/>
      <c r="E60" s="248"/>
      <c r="F60" s="249"/>
      <c r="G60" s="249"/>
      <c r="H60" s="249"/>
      <c r="I60" s="249"/>
      <c r="J60" s="249"/>
      <c r="K60" s="249"/>
      <c r="L60" s="172"/>
      <c r="M60" s="151"/>
      <c r="N60" s="151"/>
    </row>
    <row r="61" spans="2:16" ht="21.6" customHeight="1" thickBot="1" x14ac:dyDescent="0.3">
      <c r="B61" s="432" t="s">
        <v>119</v>
      </c>
      <c r="D61" s="68" t="s">
        <v>120</v>
      </c>
      <c r="E61" s="4"/>
      <c r="F61" s="4">
        <v>2020</v>
      </c>
      <c r="G61" s="4">
        <v>2021</v>
      </c>
      <c r="H61" s="4">
        <v>2022</v>
      </c>
      <c r="I61" s="4">
        <v>2023</v>
      </c>
      <c r="J61" s="4">
        <v>2024</v>
      </c>
      <c r="K61" s="152"/>
      <c r="L61" s="217"/>
      <c r="M61" s="151"/>
      <c r="N61" s="151"/>
    </row>
    <row r="62" spans="2:16" ht="18" customHeight="1" thickBot="1" x14ac:dyDescent="0.3">
      <c r="B62" s="433"/>
      <c r="D62" s="197" t="s">
        <v>143</v>
      </c>
      <c r="E62" s="198"/>
      <c r="F62" s="199"/>
      <c r="G62" s="199"/>
      <c r="H62" s="194">
        <f>'Equilibre prévisionnel'!I49*(G77-G72)+(7/12)*'Equilibre prévisionnel'!I10*(G10/'Equilibre prévisionnel'!H7-1)+(7/12)*'Equilibre prévisionnel'!I13*(IPC!F20/IPC!F18-1)</f>
        <v>-5.3652782759886115</v>
      </c>
      <c r="I62" s="194">
        <f>'Equilibre prévisionnel'!J49*(H77-H72)+(7/12)*'Equilibre prévisionnel'!J10*(H10/'Equilibre prévisionnel'!I7-1)+(7/12)*'Equilibre prévisionnel'!J13*(IPC!G20/IPC!G18-1)</f>
        <v>95.049195741341521</v>
      </c>
      <c r="J62" s="194">
        <f>'Equilibre prévisionnel'!K49*(I77-I72)+(7/12)*'Equilibre prévisionnel'!K10*(H10/'Equilibre prévisionnel'!I7-1)+(7/12)*'Equilibre prévisionnel'!K13*(IPC!H20/IPC!H18-1)</f>
        <v>-332.59348225624478</v>
      </c>
      <c r="K62" s="200"/>
      <c r="L62" s="142"/>
      <c r="M62" s="151"/>
      <c r="N62" s="151"/>
    </row>
    <row r="63" spans="2:16" ht="18" customHeight="1" thickBot="1" x14ac:dyDescent="0.3">
      <c r="B63" s="433"/>
      <c r="D63" s="197" t="s">
        <v>144</v>
      </c>
      <c r="E63" s="198"/>
      <c r="F63" s="199"/>
      <c r="G63" s="199"/>
      <c r="H63" s="201">
        <f>H50+H62</f>
        <v>121.41037308950469</v>
      </c>
      <c r="I63" s="427">
        <f>I50+I62</f>
        <v>1398.5599509431072</v>
      </c>
      <c r="J63" s="201">
        <f>J50+J62</f>
        <v>845.37291836449879</v>
      </c>
      <c r="K63" s="195"/>
      <c r="L63" s="426"/>
      <c r="M63" s="368"/>
      <c r="N63" s="151"/>
    </row>
    <row r="64" spans="2:16" ht="18" customHeight="1" thickBot="1" x14ac:dyDescent="0.3">
      <c r="B64" s="433"/>
      <c r="D64" s="197" t="s">
        <v>121</v>
      </c>
      <c r="E64" s="198"/>
      <c r="F64" s="199"/>
      <c r="G64" s="199"/>
      <c r="H64" s="201">
        <f>'Equilibre prévisionnel'!I50+'Equilibre prévisionnel'!J49/(1+$E$4)</f>
        <v>14045.111079159658</v>
      </c>
      <c r="I64" s="201">
        <f>'Equilibre prévisionnel'!J50+'Equilibre prévisionnel'!K49/(1+$E$4)</f>
        <v>14235.255304617214</v>
      </c>
      <c r="J64" s="201">
        <f>'Equilibre prévisionnel'!K50+'Equilibre prévisionnel'!L49/(1+$E$4)</f>
        <v>14293.364114123477</v>
      </c>
      <c r="K64" s="195"/>
      <c r="L64" s="426"/>
      <c r="M64" s="151"/>
      <c r="N64" s="447"/>
      <c r="O64" s="447"/>
      <c r="P64" s="447"/>
    </row>
    <row r="65" spans="2:16" ht="18" customHeight="1" thickBot="1" x14ac:dyDescent="0.3">
      <c r="B65" s="433"/>
      <c r="D65" s="197" t="s">
        <v>419</v>
      </c>
      <c r="E65" s="198"/>
      <c r="F65" s="199"/>
      <c r="G65" s="199"/>
      <c r="H65" s="202">
        <f>(H77+(H63+(5/12)*'Equilibre prévisionnel'!I10*(G10/G11-1)+(7/12)/(1+$E$4)*'Equilibre prévisionnel'!J10*(G10/G11-1)+(5/12)*'Equilibre prévisionnel'!I13*(IPC!E20/IPC!E18-1)+(7/12)/(1+$E$4)*'Equilibre prévisionnel'!J13*(IPC!F20/IPC!F18-1))/H64)/G72-1-H74</f>
        <v>4.4742140302498137E-3</v>
      </c>
      <c r="I65" s="202">
        <f>(I77+(I63+(5/12)*'Equilibre prévisionnel'!J10*(H10/H11-1)+(7/12)/(1+$E$4)*'Equilibre prévisionnel'!K10*(H10/H11-1)+(5/12)*'Equilibre prévisionnel'!J13*(IPC!F20/IPC!F18-1)+(7/12)/(1+$E$4)*'Equilibre prévisionnel'!K13*(IPC!G20/IPC!G18-1))/I64)/H72-1-I74</f>
        <v>7.3107078085615895E-2</v>
      </c>
      <c r="J65" s="202">
        <f>(J77+(J63+(5/12)*'Equilibre prévisionnel'!K10*(I10/I11-1))/J64)/I72-1-J74</f>
        <v>6.5627954420941978E-4</v>
      </c>
      <c r="K65" s="203"/>
      <c r="L65" s="142"/>
      <c r="M65" s="204"/>
      <c r="N65" s="205"/>
      <c r="O65" s="206"/>
      <c r="P65" s="207"/>
    </row>
    <row r="66" spans="2:16" ht="13.9" customHeight="1" thickBot="1" x14ac:dyDescent="0.3">
      <c r="B66" s="433"/>
      <c r="D66" s="401"/>
      <c r="E66" s="151"/>
      <c r="F66" s="208"/>
      <c r="G66" s="208"/>
      <c r="H66" s="209"/>
      <c r="I66" s="209"/>
      <c r="J66" s="209"/>
      <c r="K66" s="210"/>
      <c r="L66" s="142"/>
      <c r="M66" s="204"/>
      <c r="N66" s="151"/>
    </row>
    <row r="67" spans="2:16" ht="18" customHeight="1" thickBot="1" x14ac:dyDescent="0.3">
      <c r="B67" s="433"/>
      <c r="D67" s="211" t="s">
        <v>417</v>
      </c>
      <c r="E67" s="212"/>
      <c r="F67" s="213"/>
      <c r="G67" s="213"/>
      <c r="H67" s="214">
        <f>MAX(-2%,MIN(2%,H65))</f>
        <v>4.4742140302498137E-3</v>
      </c>
      <c r="I67" s="214">
        <f>MAX(-2%,MIN(2%,I65))</f>
        <v>0.02</v>
      </c>
      <c r="J67" s="214">
        <f>MAX(-2%,MIN(2%,J65))</f>
        <v>6.5627954420941978E-4</v>
      </c>
      <c r="K67" s="215"/>
      <c r="L67" s="142"/>
      <c r="M67" s="216"/>
      <c r="N67" s="217"/>
      <c r="O67" s="218"/>
      <c r="P67" s="217"/>
    </row>
    <row r="68" spans="2:16" ht="18" customHeight="1" thickBot="1" x14ac:dyDescent="0.3">
      <c r="B68" s="433"/>
      <c r="D68" s="197" t="s">
        <v>122</v>
      </c>
      <c r="E68" s="198"/>
      <c r="F68" s="219"/>
      <c r="G68" s="219"/>
      <c r="H68" s="220">
        <f>H65-H69</f>
        <v>6.4866046863900784E-3</v>
      </c>
      <c r="I68" s="220">
        <f>I65-I69</f>
        <v>-8.4825386136824082E-3</v>
      </c>
      <c r="J68" s="220">
        <f>J65-J69</f>
        <v>-3.2007854219765208E-2</v>
      </c>
      <c r="K68" s="215"/>
      <c r="L68" s="142"/>
      <c r="M68" s="216"/>
      <c r="N68" s="217"/>
      <c r="O68" s="218"/>
      <c r="P68" s="217"/>
    </row>
    <row r="69" spans="2:16" ht="18" customHeight="1" thickBot="1" x14ac:dyDescent="0.3">
      <c r="B69" s="433"/>
      <c r="D69" s="197" t="s">
        <v>425</v>
      </c>
      <c r="E69" s="198"/>
      <c r="F69" s="213"/>
      <c r="G69" s="213"/>
      <c r="H69" s="220">
        <f>(G56*(1+$E$4))/(H64*G75)</f>
        <v>-2.0123906561402643E-3</v>
      </c>
      <c r="I69" s="220">
        <f t="shared" ref="I69:J69" si="6">(H56*(1+$E$4))/(I64*H75)</f>
        <v>8.1589616699298304E-2</v>
      </c>
      <c r="J69" s="220">
        <f t="shared" si="6"/>
        <v>3.2664133763974625E-2</v>
      </c>
      <c r="K69" s="215"/>
      <c r="L69" s="142"/>
      <c r="M69" s="216"/>
      <c r="N69" s="217"/>
      <c r="O69" s="218"/>
      <c r="P69" s="217"/>
    </row>
    <row r="70" spans="2:16" ht="18" customHeight="1" thickBot="1" x14ac:dyDescent="0.3">
      <c r="B70" s="433"/>
      <c r="D70" s="221" t="s">
        <v>420</v>
      </c>
      <c r="E70" s="222"/>
      <c r="F70" s="223"/>
      <c r="G70" s="223"/>
      <c r="H70" s="224">
        <f>(H65-H67)*H64*G72</f>
        <v>0</v>
      </c>
      <c r="I70" s="224">
        <f t="shared" ref="I70:J70" si="7">(I65-I67)*I64*H72</f>
        <v>780.13433529280167</v>
      </c>
      <c r="J70" s="224">
        <f t="shared" si="7"/>
        <v>0</v>
      </c>
      <c r="K70" s="225"/>
      <c r="L70" s="142"/>
      <c r="M70" s="226"/>
      <c r="N70" s="151"/>
    </row>
    <row r="71" spans="2:16" ht="18" customHeight="1" thickBot="1" x14ac:dyDescent="0.3">
      <c r="B71" s="433"/>
      <c r="D71" s="211" t="s">
        <v>418</v>
      </c>
      <c r="E71" s="212"/>
      <c r="F71" s="213"/>
      <c r="G71" s="213"/>
      <c r="H71" s="214">
        <f>H8+$E$5+H67</f>
        <v>2.2600739578295004E-2</v>
      </c>
      <c r="I71" s="214">
        <f>I8+$E$5+I67</f>
        <v>6.5126525548045197E-2</v>
      </c>
      <c r="J71" s="214">
        <f>J8+$E$5+J67</f>
        <v>2.1782805092254609E-2</v>
      </c>
      <c r="K71" s="227"/>
      <c r="L71" s="142"/>
      <c r="M71" s="192"/>
      <c r="N71" s="151"/>
    </row>
    <row r="72" spans="2:16" ht="15.75" customHeight="1" thickBot="1" x14ac:dyDescent="0.3">
      <c r="B72" s="433"/>
      <c r="D72" s="228" t="s">
        <v>421</v>
      </c>
      <c r="E72" s="229"/>
      <c r="F72" s="30">
        <v>1</v>
      </c>
      <c r="G72" s="402">
        <f>F72*(1+G74)</f>
        <v>1.0091265255480453</v>
      </c>
      <c r="H72" s="30">
        <f>G72*(1+H71)</f>
        <v>1.0319335313535063</v>
      </c>
      <c r="I72" s="30">
        <f t="shared" ref="I72:J72" si="8">H72*(1+I71)</f>
        <v>1.0991397768470847</v>
      </c>
      <c r="J72" s="30">
        <f t="shared" si="8"/>
        <v>1.1230821243752891</v>
      </c>
      <c r="K72" s="230"/>
      <c r="L72" s="142"/>
      <c r="M72" s="151"/>
      <c r="N72" s="226"/>
      <c r="O72" s="226"/>
      <c r="P72" s="226"/>
    </row>
    <row r="73" spans="2:16" ht="15.75" customHeight="1" thickBot="1" x14ac:dyDescent="0.3">
      <c r="B73" s="433"/>
      <c r="D73" s="415" t="s">
        <v>426</v>
      </c>
      <c r="E73" s="407"/>
      <c r="F73" s="408"/>
      <c r="G73" s="402">
        <v>1</v>
      </c>
      <c r="H73" s="30">
        <f>G73*(1+H71)</f>
        <v>1.022600739578295</v>
      </c>
      <c r="I73" s="30">
        <f t="shared" ref="I73:J73" si="9">H73*(1+I71)</f>
        <v>1.0891991727698906</v>
      </c>
      <c r="J73" s="30">
        <f t="shared" si="9"/>
        <v>1.1129249860569821</v>
      </c>
      <c r="K73" s="230"/>
      <c r="L73" s="142"/>
      <c r="M73" s="151"/>
      <c r="N73" s="226"/>
      <c r="O73" s="226"/>
      <c r="P73" s="226"/>
    </row>
    <row r="74" spans="2:16" ht="18" customHeight="1" thickBot="1" x14ac:dyDescent="0.3">
      <c r="B74" s="433"/>
      <c r="D74" s="231" t="s">
        <v>422</v>
      </c>
      <c r="E74" s="232"/>
      <c r="F74" s="233"/>
      <c r="G74" s="403">
        <v>9.1265255480451907E-3</v>
      </c>
      <c r="H74" s="234">
        <f>H8+$E$5</f>
        <v>1.812652554804519E-2</v>
      </c>
      <c r="I74" s="234">
        <f>I8+$E$5</f>
        <v>4.5126525548045193E-2</v>
      </c>
      <c r="J74" s="234">
        <f>J8+$E$5</f>
        <v>2.1126525548045189E-2</v>
      </c>
      <c r="K74" s="235"/>
      <c r="L74" s="142"/>
      <c r="M74" s="151"/>
      <c r="N74" s="236"/>
      <c r="O74" s="226"/>
      <c r="P74" s="226"/>
    </row>
    <row r="75" spans="2:16" ht="15.75" customHeight="1" thickBot="1" x14ac:dyDescent="0.3">
      <c r="B75" s="433"/>
      <c r="D75" s="228" t="s">
        <v>423</v>
      </c>
      <c r="E75" s="237"/>
      <c r="F75" s="30">
        <v>1</v>
      </c>
      <c r="G75" s="402">
        <f>F75*(1+G74)</f>
        <v>1.0091265255480453</v>
      </c>
      <c r="H75" s="30">
        <f>G75*(1+H74)</f>
        <v>1.0274184832946021</v>
      </c>
      <c r="I75" s="30">
        <f t="shared" ref="I75:J75" si="10">H75*(1+I74)</f>
        <v>1.0737823097295298</v>
      </c>
      <c r="J75" s="30">
        <f t="shared" si="10"/>
        <v>1.0964675991290698</v>
      </c>
      <c r="K75" s="230"/>
      <c r="L75" s="142"/>
      <c r="M75" s="151"/>
      <c r="N75" s="151"/>
    </row>
    <row r="76" spans="2:16" ht="15.75" customHeight="1" thickBot="1" x14ac:dyDescent="0.3">
      <c r="B76" s="161"/>
      <c r="D76" s="231" t="s">
        <v>424</v>
      </c>
      <c r="E76" s="232"/>
      <c r="F76" s="233"/>
      <c r="G76" s="403">
        <f>'Equilibre prévisionnel'!H52</f>
        <v>9.1265255480451907E-3</v>
      </c>
      <c r="H76" s="234">
        <f>'Equilibre prévisionnel'!I52</f>
        <v>1.3126525548045191E-2</v>
      </c>
      <c r="I76" s="234">
        <f>'Equilibre prévisionnel'!J52</f>
        <v>1.5126525548045191E-2</v>
      </c>
      <c r="J76" s="234">
        <f>'Equilibre prévisionnel'!K52</f>
        <v>1.812652554804519E-2</v>
      </c>
      <c r="K76" s="230"/>
      <c r="L76" s="142"/>
      <c r="M76" s="151"/>
      <c r="N76" s="151"/>
    </row>
    <row r="77" spans="2:16" ht="15.75" customHeight="1" thickBot="1" x14ac:dyDescent="0.3">
      <c r="B77" s="161"/>
      <c r="D77" s="228" t="s">
        <v>423</v>
      </c>
      <c r="E77" s="237"/>
      <c r="F77" s="30">
        <v>1</v>
      </c>
      <c r="G77" s="402">
        <f t="shared" ref="G77:J77" si="11">F77*(1+G76)</f>
        <v>1.0091265255480453</v>
      </c>
      <c r="H77" s="30">
        <f>G77*(1+H76)</f>
        <v>1.0223728506668619</v>
      </c>
      <c r="I77" s="30">
        <f t="shared" si="11"/>
        <v>1.037837799712102</v>
      </c>
      <c r="J77" s="30">
        <f t="shared" si="11"/>
        <v>1.0566501931033103</v>
      </c>
      <c r="K77" s="230"/>
      <c r="L77" s="142"/>
      <c r="M77" s="151"/>
      <c r="N77" s="151"/>
    </row>
    <row r="78" spans="2:16" ht="13.9" customHeight="1" x14ac:dyDescent="0.25">
      <c r="D78" s="151"/>
      <c r="E78" s="151"/>
      <c r="F78" s="151"/>
      <c r="G78" s="151"/>
      <c r="H78" s="151"/>
      <c r="I78" s="151"/>
      <c r="J78" s="238"/>
      <c r="K78" s="151"/>
      <c r="L78" s="153"/>
    </row>
    <row r="79" spans="2:16" ht="13.9" customHeight="1" x14ac:dyDescent="0.25">
      <c r="D79" s="151"/>
      <c r="E79" s="151"/>
      <c r="F79" s="151"/>
      <c r="G79" s="151"/>
      <c r="H79" s="238"/>
      <c r="I79" s="238"/>
      <c r="J79" s="238"/>
      <c r="K79" s="151"/>
      <c r="L79" s="153"/>
    </row>
    <row r="80" spans="2:16"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sheetData>
  <mergeCells count="7">
    <mergeCell ref="B7:B10"/>
    <mergeCell ref="B13:B47"/>
    <mergeCell ref="B49:B59"/>
    <mergeCell ref="B61:B75"/>
    <mergeCell ref="N64:P64"/>
    <mergeCell ref="L52:L54"/>
    <mergeCell ref="L55:L57"/>
  </mergeCells>
  <phoneticPr fontId="94" type="noConversion"/>
  <conditionalFormatting sqref="J14 J16 J30 J35 K51:K58">
    <cfRule type="expression" dxfId="19" priority="29">
      <formula>$F$2&lt;=#REF!</formula>
    </cfRule>
  </conditionalFormatting>
  <conditionalFormatting sqref="I14 J66 I16 I30 I35">
    <cfRule type="expression" dxfId="18" priority="28">
      <formula>$F$2&lt;=#REF!</formula>
    </cfRule>
  </conditionalFormatting>
  <conditionalFormatting sqref="H14 F9:J9 H16 H30 H35 I66 I68:J68 G47:J47 H50:K50">
    <cfRule type="expression" dxfId="17" priority="27">
      <formula>$F$2&lt;=#REF!</formula>
    </cfRule>
  </conditionalFormatting>
  <conditionalFormatting sqref="F49:G50 F7:J8 F10:J10 F13:J13 H17:J29 H31:J34 F14:G41 G42:G46 H36:J46 H49:K49 J61 H61:H75 H15:J15 I67:J67 I62:J65 F59:J59 I69:J75">
    <cfRule type="expression" dxfId="16" priority="26">
      <formula>$F$2&lt;=#REF!</formula>
    </cfRule>
  </conditionalFormatting>
  <conditionalFormatting sqref="F11:J11">
    <cfRule type="expression" dxfId="15" priority="19">
      <formula>$F$2&lt;=#REF!</formula>
    </cfRule>
  </conditionalFormatting>
  <conditionalFormatting sqref="G74">
    <cfRule type="expression" dxfId="14" priority="11">
      <formula>$F$2&lt;=#REF!</formula>
    </cfRule>
  </conditionalFormatting>
  <conditionalFormatting sqref="G76:J76">
    <cfRule type="expression" dxfId="13" priority="10">
      <formula>$F$2&lt;=#REF!</formula>
    </cfRule>
  </conditionalFormatting>
  <conditionalFormatting sqref="G75">
    <cfRule type="expression" dxfId="12" priority="9">
      <formula>$F$2&lt;=#REF!</formula>
    </cfRule>
  </conditionalFormatting>
  <conditionalFormatting sqref="F51:F56 F58">
    <cfRule type="expression" dxfId="11" priority="8">
      <formula>$F$2&lt;=#REF!</formula>
    </cfRule>
  </conditionalFormatting>
  <conditionalFormatting sqref="G52:J56">
    <cfRule type="expression" dxfId="10" priority="7">
      <formula>$F$2&lt;=#REF!</formula>
    </cfRule>
  </conditionalFormatting>
  <conditionalFormatting sqref="I57">
    <cfRule type="expression" dxfId="9" priority="6">
      <formula>$F$2&lt;=#REF!</formula>
    </cfRule>
  </conditionalFormatting>
  <conditionalFormatting sqref="H57">
    <cfRule type="expression" dxfId="8" priority="5">
      <formula>$F$2&lt;=#REF!</formula>
    </cfRule>
  </conditionalFormatting>
  <conditionalFormatting sqref="F57:G57">
    <cfRule type="expression" dxfId="7" priority="4">
      <formula>$F$2&lt;=#REF!</formula>
    </cfRule>
  </conditionalFormatting>
  <conditionalFormatting sqref="J57">
    <cfRule type="expression" dxfId="6" priority="3">
      <formula>$F$2&lt;=#REF!</formula>
    </cfRule>
  </conditionalFormatting>
  <conditionalFormatting sqref="G58:J58">
    <cfRule type="expression" dxfId="5" priority="2">
      <formula>$F$2&lt;=#REF!</formula>
    </cfRule>
  </conditionalFormatting>
  <conditionalFormatting sqref="G51:J51">
    <cfRule type="expression" dxfId="4" priority="1">
      <formula>$F$2&lt;=#REF!</formula>
    </cfRule>
  </conditionalFormatting>
  <dataValidations disablePrompts="1" count="1">
    <dataValidation type="list" allowBlank="1" showInputMessage="1" showErrorMessage="1" sqref="F2" xr:uid="{70DACF2E-BF02-455B-B66C-C4EFAE1C88A4}">
      <formula1>"2020,2021,2022,2023,2024"</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627E-1716-406A-BBAF-5545A15C30A7}">
  <sheetPr>
    <tabColor theme="4"/>
  </sheetPr>
  <dimension ref="A1:I45"/>
  <sheetViews>
    <sheetView topLeftCell="A25" workbookViewId="0">
      <selection activeCell="F29" sqref="F29"/>
    </sheetView>
  </sheetViews>
  <sheetFormatPr baseColWidth="10" defaultColWidth="9.28515625" defaultRowHeight="15" x14ac:dyDescent="0.25"/>
  <cols>
    <col min="2" max="2" width="24.7109375" customWidth="1"/>
    <col min="3" max="3" width="24.7109375" style="10" customWidth="1"/>
    <col min="4" max="4" width="24.7109375" style="11" customWidth="1"/>
    <col min="5" max="5" width="24.7109375" style="12" customWidth="1"/>
    <col min="6" max="8" width="24.7109375" customWidth="1"/>
    <col min="10" max="10" width="2.28515625" customWidth="1"/>
  </cols>
  <sheetData>
    <row r="1" spans="1:9" ht="16.5" thickBot="1" x14ac:dyDescent="0.35">
      <c r="B1" s="6" t="s">
        <v>14</v>
      </c>
      <c r="C1" s="7"/>
      <c r="D1" s="8"/>
      <c r="E1" s="9"/>
    </row>
    <row r="2" spans="1:9" ht="17.25" thickBot="1" x14ac:dyDescent="0.3">
      <c r="D2" s="146" t="s">
        <v>107</v>
      </c>
      <c r="E2" s="147">
        <v>2023</v>
      </c>
    </row>
    <row r="4" spans="1:9" ht="27.75" customHeight="1" x14ac:dyDescent="0.25">
      <c r="B4" s="449" t="s">
        <v>244</v>
      </c>
      <c r="C4" s="450"/>
      <c r="D4" s="451"/>
      <c r="E4"/>
    </row>
    <row r="5" spans="1:9" ht="15.75" thickBot="1" x14ac:dyDescent="0.3">
      <c r="C5" s="16"/>
      <c r="E5"/>
    </row>
    <row r="6" spans="1:9" ht="27.75" thickBot="1" x14ac:dyDescent="0.3">
      <c r="B6" s="331" t="s">
        <v>17</v>
      </c>
      <c r="C6" s="332" t="s">
        <v>243</v>
      </c>
      <c r="D6" s="332" t="s">
        <v>18</v>
      </c>
      <c r="E6"/>
    </row>
    <row r="7" spans="1:9" ht="15.75" thickBot="1" x14ac:dyDescent="0.3">
      <c r="B7" s="333" t="s">
        <v>19</v>
      </c>
      <c r="C7" s="334">
        <v>156</v>
      </c>
      <c r="D7" s="334">
        <v>212</v>
      </c>
      <c r="E7"/>
    </row>
    <row r="8" spans="1:9" ht="15.75" thickBot="1" x14ac:dyDescent="0.3">
      <c r="B8" s="333" t="s">
        <v>20</v>
      </c>
      <c r="C8" s="334">
        <v>78</v>
      </c>
      <c r="D8" s="334">
        <v>106</v>
      </c>
      <c r="E8"/>
      <c r="G8" s="13"/>
      <c r="H8" s="13"/>
      <c r="I8" s="14"/>
    </row>
    <row r="9" spans="1:9" ht="15.75" thickBot="1" x14ac:dyDescent="0.3">
      <c r="B9" s="333" t="s">
        <v>21</v>
      </c>
      <c r="C9" s="334">
        <v>6.8</v>
      </c>
      <c r="D9" s="334">
        <v>7.9</v>
      </c>
      <c r="E9"/>
    </row>
    <row r="10" spans="1:9" x14ac:dyDescent="0.25">
      <c r="C10" s="16"/>
      <c r="E10" s="15"/>
    </row>
    <row r="11" spans="1:9" ht="15.75" thickBot="1" x14ac:dyDescent="0.3"/>
    <row r="12" spans="1:9" ht="16.5" x14ac:dyDescent="0.25">
      <c r="B12" s="68" t="s">
        <v>39</v>
      </c>
      <c r="C12" s="4"/>
      <c r="D12" s="4">
        <v>2020</v>
      </c>
      <c r="E12" s="4">
        <v>2021</v>
      </c>
      <c r="F12" s="4">
        <v>2022</v>
      </c>
      <c r="G12" s="4">
        <v>2023</v>
      </c>
      <c r="H12" s="4">
        <v>2024</v>
      </c>
    </row>
    <row r="13" spans="1:9" ht="41.25" thickBot="1" x14ac:dyDescent="0.3">
      <c r="B13" s="75" t="s">
        <v>108</v>
      </c>
      <c r="C13" s="5"/>
      <c r="D13" s="157">
        <f>IPC!D9</f>
        <v>2.0719230336807559E-3</v>
      </c>
      <c r="E13" s="157">
        <f>IPC!E9</f>
        <v>1.5539349254688251E-2</v>
      </c>
      <c r="F13" s="157">
        <f>IPC!F9</f>
        <v>5.3448969767753818E-2</v>
      </c>
      <c r="G13" s="157">
        <f>IPC!G9</f>
        <v>1.2E-2</v>
      </c>
      <c r="H13" s="157">
        <f>IPC!H9</f>
        <v>1.4999999999999999E-2</v>
      </c>
    </row>
    <row r="14" spans="1:9" ht="27.75" thickBot="1" x14ac:dyDescent="0.3">
      <c r="B14" s="28" t="s">
        <v>109</v>
      </c>
      <c r="C14" s="29">
        <v>1</v>
      </c>
      <c r="D14" s="30">
        <f>C14*(1+D13)</f>
        <v>1.0020719230336808</v>
      </c>
      <c r="E14" s="30">
        <f>D14*(1+E13)</f>
        <v>1.0176434686240181</v>
      </c>
      <c r="F14" s="30">
        <f>E14*(1+F13)</f>
        <v>1.0720354636128553</v>
      </c>
      <c r="G14" s="30">
        <f t="shared" ref="G14:H14" si="0">F14*(1+G13)</f>
        <v>1.0848998891762096</v>
      </c>
      <c r="H14" s="30">
        <f t="shared" si="0"/>
        <v>1.1011733875138527</v>
      </c>
    </row>
    <row r="15" spans="1:9" x14ac:dyDescent="0.25">
      <c r="C15" s="16"/>
      <c r="E15" s="15"/>
    </row>
    <row r="16" spans="1:9" x14ac:dyDescent="0.25">
      <c r="A16" s="336">
        <v>2022</v>
      </c>
      <c r="B16" s="449" t="s">
        <v>254</v>
      </c>
      <c r="C16" s="450"/>
      <c r="D16" s="451"/>
    </row>
    <row r="17" spans="1:8" ht="15.75" thickBot="1" x14ac:dyDescent="0.3">
      <c r="A17" s="336"/>
      <c r="C17" s="16"/>
    </row>
    <row r="18" spans="1:8" ht="27.75" thickBot="1" x14ac:dyDescent="0.3">
      <c r="A18" s="336"/>
      <c r="B18" s="331" t="s">
        <v>17</v>
      </c>
      <c r="C18" s="332" t="s">
        <v>243</v>
      </c>
      <c r="D18" s="332" t="s">
        <v>18</v>
      </c>
    </row>
    <row r="19" spans="1:8" ht="15.75" thickBot="1" x14ac:dyDescent="0.3">
      <c r="A19" s="336"/>
      <c r="B19" s="333" t="s">
        <v>19</v>
      </c>
      <c r="C19" s="334">
        <f>C7*D$14</f>
        <v>156.32321999325418</v>
      </c>
      <c r="D19" s="334">
        <f>D7*D$14</f>
        <v>212.43924768314031</v>
      </c>
    </row>
    <row r="20" spans="1:8" ht="15.75" thickBot="1" x14ac:dyDescent="0.3">
      <c r="A20" s="336"/>
      <c r="B20" s="333" t="s">
        <v>20</v>
      </c>
      <c r="C20" s="334">
        <f t="shared" ref="C20" si="1">C8*D$14</f>
        <v>78.161609996627092</v>
      </c>
      <c r="D20" s="334">
        <f t="shared" ref="D20:D21" si="2">D8*D$14</f>
        <v>106.21962384157015</v>
      </c>
    </row>
    <row r="21" spans="1:8" ht="15.75" thickBot="1" x14ac:dyDescent="0.3">
      <c r="A21" s="336"/>
      <c r="B21" s="333" t="s">
        <v>21</v>
      </c>
      <c r="C21" s="334">
        <f>C9*D$14</f>
        <v>6.8140890766290285</v>
      </c>
      <c r="D21" s="334">
        <f t="shared" si="2"/>
        <v>7.916368191966078</v>
      </c>
    </row>
    <row r="22" spans="1:8" x14ac:dyDescent="0.25">
      <c r="A22" s="336"/>
      <c r="F22" s="449" t="s">
        <v>431</v>
      </c>
      <c r="G22" s="450"/>
      <c r="H22" s="451"/>
    </row>
    <row r="24" spans="1:8" x14ac:dyDescent="0.25">
      <c r="A24" s="336">
        <v>2022</v>
      </c>
      <c r="B24" s="449" t="s">
        <v>245</v>
      </c>
      <c r="C24" s="450"/>
      <c r="D24" s="451"/>
      <c r="F24" s="449" t="s">
        <v>245</v>
      </c>
      <c r="G24" s="450"/>
      <c r="H24" s="451"/>
    </row>
    <row r="25" spans="1:8" ht="15.75" thickBot="1" x14ac:dyDescent="0.3">
      <c r="A25" s="336"/>
      <c r="C25" s="16"/>
      <c r="G25" s="16"/>
      <c r="H25" s="11"/>
    </row>
    <row r="26" spans="1:8" ht="27.75" thickBot="1" x14ac:dyDescent="0.3">
      <c r="A26" s="336"/>
      <c r="B26" s="331" t="s">
        <v>17</v>
      </c>
      <c r="C26" s="332" t="s">
        <v>243</v>
      </c>
      <c r="D26" s="332" t="s">
        <v>18</v>
      </c>
      <c r="F26" s="331" t="s">
        <v>17</v>
      </c>
      <c r="G26" s="332" t="s">
        <v>243</v>
      </c>
      <c r="H26" s="332" t="s">
        <v>18</v>
      </c>
    </row>
    <row r="27" spans="1:8" ht="15.75" thickBot="1" x14ac:dyDescent="0.3">
      <c r="A27" s="336"/>
      <c r="B27" s="333" t="s">
        <v>19</v>
      </c>
      <c r="C27" s="334">
        <f>C7*$E$14</f>
        <v>158.75238110534681</v>
      </c>
      <c r="D27" s="334">
        <f>D7*$E$14</f>
        <v>215.74041534829183</v>
      </c>
      <c r="F27" s="419" t="s">
        <v>19</v>
      </c>
      <c r="G27" s="420">
        <f>ROUND(C27/12,2)*12</f>
        <v>158.76</v>
      </c>
      <c r="H27" s="420">
        <f>ROUND(D27/12,2)*12</f>
        <v>215.76</v>
      </c>
    </row>
    <row r="28" spans="1:8" ht="15.75" thickBot="1" x14ac:dyDescent="0.3">
      <c r="A28" s="336"/>
      <c r="B28" s="333" t="s">
        <v>20</v>
      </c>
      <c r="C28" s="334">
        <f t="shared" ref="C28:D28" si="3">C8*$E$14</f>
        <v>79.376190552673407</v>
      </c>
      <c r="D28" s="334">
        <f t="shared" si="3"/>
        <v>107.87020767414592</v>
      </c>
      <c r="F28" s="419" t="s">
        <v>20</v>
      </c>
      <c r="G28" s="420">
        <f t="shared" ref="G28:G29" si="4">ROUND(C28/12,2)*12</f>
        <v>79.320000000000007</v>
      </c>
      <c r="H28" s="420">
        <f t="shared" ref="H28:H29" si="5">ROUND(D28/12,2)*12</f>
        <v>107.88</v>
      </c>
    </row>
    <row r="29" spans="1:8" ht="15.75" thickBot="1" x14ac:dyDescent="0.3">
      <c r="A29" s="336"/>
      <c r="B29" s="333" t="s">
        <v>21</v>
      </c>
      <c r="C29" s="334">
        <f>C9*$E$14</f>
        <v>6.9199755866433232</v>
      </c>
      <c r="D29" s="334">
        <f t="shared" ref="D29" si="6">D9*$E$14</f>
        <v>8.0393834021297437</v>
      </c>
      <c r="F29" s="419" t="s">
        <v>21</v>
      </c>
      <c r="G29" s="420">
        <f t="shared" si="4"/>
        <v>6.9599999999999991</v>
      </c>
      <c r="H29" s="420">
        <f t="shared" si="5"/>
        <v>8.0400000000000009</v>
      </c>
    </row>
    <row r="30" spans="1:8" x14ac:dyDescent="0.25">
      <c r="A30" s="336"/>
    </row>
    <row r="31" spans="1:8" x14ac:dyDescent="0.25">
      <c r="A31" s="336"/>
    </row>
    <row r="32" spans="1:8" ht="15" customHeight="1" x14ac:dyDescent="0.25">
      <c r="A32" s="336">
        <v>2023</v>
      </c>
      <c r="B32" s="449" t="s">
        <v>246</v>
      </c>
      <c r="C32" s="450"/>
      <c r="D32" s="451"/>
      <c r="F32" s="449" t="s">
        <v>246</v>
      </c>
      <c r="G32" s="450"/>
      <c r="H32" s="451"/>
    </row>
    <row r="33" spans="1:8" ht="15.75" thickBot="1" x14ac:dyDescent="0.3">
      <c r="A33" s="336"/>
      <c r="C33" s="16"/>
      <c r="G33" s="16"/>
      <c r="H33" s="11"/>
    </row>
    <row r="34" spans="1:8" ht="27.75" thickBot="1" x14ac:dyDescent="0.3">
      <c r="A34" s="336"/>
      <c r="B34" s="331" t="s">
        <v>17</v>
      </c>
      <c r="C34" s="332" t="s">
        <v>243</v>
      </c>
      <c r="D34" s="332" t="s">
        <v>18</v>
      </c>
      <c r="F34" s="331" t="s">
        <v>17</v>
      </c>
      <c r="G34" s="332" t="s">
        <v>243</v>
      </c>
      <c r="H34" s="332" t="s">
        <v>18</v>
      </c>
    </row>
    <row r="35" spans="1:8" ht="15.75" thickBot="1" x14ac:dyDescent="0.3">
      <c r="A35" s="336"/>
      <c r="B35" s="333" t="s">
        <v>19</v>
      </c>
      <c r="C35" s="334">
        <f>C7*$F$14</f>
        <v>167.23753232360542</v>
      </c>
      <c r="D35" s="334">
        <f>D7*$F$14</f>
        <v>227.27151828592531</v>
      </c>
      <c r="F35" s="419" t="s">
        <v>19</v>
      </c>
      <c r="G35" s="420">
        <f>ROUND(C35/12,2)*12</f>
        <v>167.28</v>
      </c>
      <c r="H35" s="420">
        <f>ROUND(D35/12,2)*12</f>
        <v>227.28000000000003</v>
      </c>
    </row>
    <row r="36" spans="1:8" ht="15.75" thickBot="1" x14ac:dyDescent="0.3">
      <c r="A36" s="336"/>
      <c r="B36" s="333" t="s">
        <v>20</v>
      </c>
      <c r="C36" s="334">
        <f t="shared" ref="C36:D36" si="7">C8*$F$14</f>
        <v>83.618766161802711</v>
      </c>
      <c r="D36" s="334">
        <f t="shared" si="7"/>
        <v>113.63575914296266</v>
      </c>
      <c r="F36" s="419" t="s">
        <v>20</v>
      </c>
      <c r="G36" s="420">
        <f t="shared" ref="G36:G37" si="8">ROUND(C36/12,2)*12</f>
        <v>83.64</v>
      </c>
      <c r="H36" s="420">
        <f t="shared" ref="H36:H37" si="9">ROUND(D36/12,2)*12</f>
        <v>113.64000000000001</v>
      </c>
    </row>
    <row r="37" spans="1:8" ht="15.75" thickBot="1" x14ac:dyDescent="0.3">
      <c r="A37" s="336"/>
      <c r="B37" s="333" t="s">
        <v>21</v>
      </c>
      <c r="C37" s="334">
        <f t="shared" ref="C37:D37" si="10">C9*$F$14</f>
        <v>7.2898411525674156</v>
      </c>
      <c r="D37" s="334">
        <f t="shared" si="10"/>
        <v>8.469080162541557</v>
      </c>
      <c r="F37" s="419" t="s">
        <v>21</v>
      </c>
      <c r="G37" s="420">
        <f t="shared" si="8"/>
        <v>7.32</v>
      </c>
      <c r="H37" s="420">
        <f t="shared" si="9"/>
        <v>8.52</v>
      </c>
    </row>
    <row r="38" spans="1:8" x14ac:dyDescent="0.25">
      <c r="A38" s="336"/>
    </row>
    <row r="39" spans="1:8" x14ac:dyDescent="0.25">
      <c r="A39" s="336"/>
    </row>
    <row r="40" spans="1:8" ht="15" customHeight="1" x14ac:dyDescent="0.25">
      <c r="A40" s="336"/>
      <c r="B40" s="449" t="s">
        <v>247</v>
      </c>
      <c r="C40" s="450"/>
      <c r="D40" s="451"/>
      <c r="F40" s="449" t="s">
        <v>247</v>
      </c>
      <c r="G40" s="450"/>
      <c r="H40" s="451"/>
    </row>
    <row r="41" spans="1:8" ht="15.75" thickBot="1" x14ac:dyDescent="0.3">
      <c r="A41" s="336"/>
      <c r="C41" s="16"/>
      <c r="G41" s="16"/>
      <c r="H41" s="11"/>
    </row>
    <row r="42" spans="1:8" ht="27.75" thickBot="1" x14ac:dyDescent="0.3">
      <c r="A42" s="336">
        <v>2024</v>
      </c>
      <c r="B42" s="331" t="s">
        <v>17</v>
      </c>
      <c r="C42" s="332" t="s">
        <v>243</v>
      </c>
      <c r="D42" s="332" t="s">
        <v>18</v>
      </c>
      <c r="F42" s="331" t="s">
        <v>17</v>
      </c>
      <c r="G42" s="332" t="s">
        <v>243</v>
      </c>
      <c r="H42" s="332" t="s">
        <v>18</v>
      </c>
    </row>
    <row r="43" spans="1:8" ht="15.75" thickBot="1" x14ac:dyDescent="0.3">
      <c r="A43" s="336"/>
      <c r="B43" s="333" t="s">
        <v>19</v>
      </c>
      <c r="C43" s="334">
        <f>C7*$G$14</f>
        <v>169.2443827114887</v>
      </c>
      <c r="D43" s="334">
        <f>D7*$G$14</f>
        <v>229.99877650535643</v>
      </c>
      <c r="F43" s="419" t="s">
        <v>19</v>
      </c>
      <c r="G43" s="420">
        <f>ROUND(C43/12,2)*12</f>
        <v>169.2</v>
      </c>
      <c r="H43" s="420">
        <f>ROUND(D43/12,2)*12</f>
        <v>230.04000000000002</v>
      </c>
    </row>
    <row r="44" spans="1:8" ht="15.75" thickBot="1" x14ac:dyDescent="0.3">
      <c r="A44" s="336"/>
      <c r="B44" s="333" t="s">
        <v>20</v>
      </c>
      <c r="C44" s="334">
        <f t="shared" ref="C44:D44" si="11">C8*$G$14</f>
        <v>84.622191355744349</v>
      </c>
      <c r="D44" s="334">
        <f t="shared" si="11"/>
        <v>114.99938825267822</v>
      </c>
      <c r="F44" s="419" t="s">
        <v>20</v>
      </c>
      <c r="G44" s="420">
        <f t="shared" ref="G44:G45" si="12">ROUND(C44/12,2)*12</f>
        <v>84.6</v>
      </c>
      <c r="H44" s="420">
        <f t="shared" ref="H44:H45" si="13">ROUND(D44/12,2)*12</f>
        <v>114.96000000000001</v>
      </c>
    </row>
    <row r="45" spans="1:8" ht="15.75" thickBot="1" x14ac:dyDescent="0.3">
      <c r="A45" s="336"/>
      <c r="B45" s="333" t="s">
        <v>21</v>
      </c>
      <c r="C45" s="334">
        <f t="shared" ref="C45:D45" si="14">C9*$G$14</f>
        <v>7.3773192463982253</v>
      </c>
      <c r="D45" s="334">
        <f t="shared" si="14"/>
        <v>8.5707091244920566</v>
      </c>
      <c r="F45" s="419" t="s">
        <v>21</v>
      </c>
      <c r="G45" s="420">
        <f t="shared" si="12"/>
        <v>7.32</v>
      </c>
      <c r="H45" s="420">
        <f t="shared" si="13"/>
        <v>8.52</v>
      </c>
    </row>
  </sheetData>
  <mergeCells count="9">
    <mergeCell ref="B4:D4"/>
    <mergeCell ref="F24:H24"/>
    <mergeCell ref="F22:H22"/>
    <mergeCell ref="F32:H32"/>
    <mergeCell ref="F40:H40"/>
    <mergeCell ref="B24:D24"/>
    <mergeCell ref="B32:D32"/>
    <mergeCell ref="B40:D40"/>
    <mergeCell ref="B16:D16"/>
  </mergeCells>
  <conditionalFormatting sqref="D13:H13">
    <cfRule type="expression" dxfId="3" priority="5">
      <formula>$F$2&lt;=#REF!</formula>
    </cfRule>
  </conditionalFormatting>
  <conditionalFormatting sqref="D12:H12 D14:H14">
    <cfRule type="expression" dxfId="2" priority="4">
      <formula>$F$2&lt;=#REF!</formula>
    </cfRule>
  </conditionalFormatting>
  <conditionalFormatting sqref="C35:D37">
    <cfRule type="expression" dxfId="1" priority="2">
      <formula>$A$32&gt;$E$2</formula>
    </cfRule>
  </conditionalFormatting>
  <conditionalFormatting sqref="C43:D45">
    <cfRule type="expression" dxfId="0" priority="1">
      <formula>$A$42&gt;$E$2</formula>
    </cfRule>
  </conditionalFormatting>
  <dataValidations count="1">
    <dataValidation type="list" allowBlank="1" showInputMessage="1" showErrorMessage="1" sqref="E2" xr:uid="{8FD5286C-D5EB-48CA-9C4F-6A6A9C41F201}">
      <formula1>"2020,2021,2022,2023,2024"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7947C-5D6C-4B5D-95EC-93CCB4914A40}">
  <sheetPr>
    <tabColor theme="4"/>
  </sheetPr>
  <dimension ref="B1:T170"/>
  <sheetViews>
    <sheetView zoomScale="85" zoomScaleNormal="85" workbookViewId="0">
      <pane xSplit="1" ySplit="5" topLeftCell="B21" activePane="bottomRight" state="frozen"/>
      <selection pane="topRight" activeCell="B1" sqref="B1"/>
      <selection pane="bottomLeft" activeCell="A6" sqref="A6"/>
      <selection pane="bottomRight" activeCell="R23" sqref="R23"/>
    </sheetView>
  </sheetViews>
  <sheetFormatPr baseColWidth="10" defaultColWidth="11.42578125" defaultRowHeight="15.75" x14ac:dyDescent="0.3"/>
  <cols>
    <col min="1" max="1" width="3.28515625" style="6" customWidth="1"/>
    <col min="2" max="2" width="42.42578125" style="6" customWidth="1"/>
    <col min="3" max="5" width="16.28515625" style="6" customWidth="1"/>
    <col min="6" max="6" width="17.85546875" style="256" customWidth="1"/>
    <col min="7" max="7" width="14.7109375" style="6" customWidth="1"/>
    <col min="8" max="12" width="11.7109375" style="255" customWidth="1"/>
    <col min="13" max="16" width="16.28515625" style="255" customWidth="1"/>
    <col min="17" max="20" width="14.7109375" style="255" customWidth="1"/>
    <col min="21" max="16384" width="11.42578125" style="6"/>
  </cols>
  <sheetData>
    <row r="1" spans="2:20" x14ac:dyDescent="0.3">
      <c r="B1" s="253"/>
      <c r="C1" s="253"/>
      <c r="D1" s="253"/>
      <c r="E1" s="253"/>
      <c r="F1" s="253"/>
      <c r="G1" s="253"/>
      <c r="H1" s="254"/>
      <c r="I1" s="254"/>
      <c r="J1" s="254"/>
      <c r="K1" s="254"/>
      <c r="L1" s="254"/>
    </row>
    <row r="4" spans="2:20" s="258" customFormat="1" ht="89.25" customHeight="1" x14ac:dyDescent="0.25">
      <c r="B4" s="257" t="s">
        <v>145</v>
      </c>
      <c r="F4" s="256"/>
      <c r="H4" s="259" t="s">
        <v>146</v>
      </c>
      <c r="I4" s="477" t="s">
        <v>427</v>
      </c>
      <c r="J4" s="478"/>
      <c r="K4" s="478"/>
      <c r="L4" s="478"/>
      <c r="M4" s="477" t="s">
        <v>428</v>
      </c>
      <c r="N4" s="478"/>
      <c r="O4" s="478"/>
      <c r="P4" s="478"/>
      <c r="Q4" s="479" t="s">
        <v>248</v>
      </c>
      <c r="R4" s="480"/>
      <c r="S4" s="480"/>
      <c r="T4" s="480"/>
    </row>
    <row r="5" spans="2:20" s="261" customFormat="1" ht="76.5" x14ac:dyDescent="0.25">
      <c r="B5" s="260"/>
      <c r="F5" s="262"/>
      <c r="H5" s="263" t="s">
        <v>147</v>
      </c>
      <c r="I5" s="264" t="s">
        <v>202</v>
      </c>
      <c r="J5" s="264" t="s">
        <v>203</v>
      </c>
      <c r="K5" s="264" t="s">
        <v>204</v>
      </c>
      <c r="L5" s="265" t="s">
        <v>205</v>
      </c>
      <c r="M5" s="264" t="s">
        <v>202</v>
      </c>
      <c r="N5" s="264" t="s">
        <v>203</v>
      </c>
      <c r="O5" s="264" t="s">
        <v>204</v>
      </c>
      <c r="P5" s="265" t="s">
        <v>205</v>
      </c>
      <c r="Q5" s="266" t="s">
        <v>202</v>
      </c>
      <c r="R5" s="267" t="s">
        <v>203</v>
      </c>
      <c r="S5" s="267" t="s">
        <v>204</v>
      </c>
      <c r="T5" s="267" t="s">
        <v>205</v>
      </c>
    </row>
    <row r="6" spans="2:20" ht="16.5" thickBot="1" x14ac:dyDescent="0.35"/>
    <row r="7" spans="2:20" ht="15.75" customHeight="1" x14ac:dyDescent="0.3">
      <c r="B7" s="454" t="s">
        <v>201</v>
      </c>
      <c r="C7" s="268" t="s">
        <v>148</v>
      </c>
      <c r="D7" s="269"/>
      <c r="E7" s="270"/>
      <c r="F7" s="271" t="s">
        <v>19</v>
      </c>
      <c r="G7" s="272" t="s">
        <v>149</v>
      </c>
      <c r="H7" s="273">
        <v>1</v>
      </c>
      <c r="I7" s="274">
        <v>213.23</v>
      </c>
      <c r="J7" s="275">
        <f>I7</f>
        <v>213.23</v>
      </c>
      <c r="K7" s="275">
        <f t="shared" ref="K7:L7" si="0">J7</f>
        <v>213.23</v>
      </c>
      <c r="L7" s="275">
        <f t="shared" si="0"/>
        <v>213.23</v>
      </c>
      <c r="M7" s="274">
        <v>213.23</v>
      </c>
      <c r="N7" s="275">
        <f>J7*'CRCP &amp; Evolutions'!H$73</f>
        <v>218.04915570027984</v>
      </c>
      <c r="O7" s="275">
        <f>K7*'CRCP &amp; Evolutions'!I$73</f>
        <v>232.24993960972378</v>
      </c>
      <c r="P7" s="275">
        <f>L7*'CRCP &amp; Evolutions'!J$73</f>
        <v>237.30899477693029</v>
      </c>
      <c r="Q7" s="276">
        <f>IF($H7=1,ROUND(M7/12,2)*12,ROUND(M7,2))</f>
        <v>213.24</v>
      </c>
      <c r="R7" s="277">
        <f>IF($H7=1,ROUND(N7/12,2)*12,ROUND(N7,2))</f>
        <v>218.04000000000002</v>
      </c>
      <c r="S7" s="277">
        <f t="shared" ref="S7:S26" si="1">IF($H7=1,ROUND(O7/12,2)*12,ROUND(O7,2))</f>
        <v>232.20000000000002</v>
      </c>
      <c r="T7" s="278">
        <f t="shared" ref="T7:T26" si="2">IF($H7=1,ROUND(P7/12,2)*12,ROUND(P7,2))</f>
        <v>237.36</v>
      </c>
    </row>
    <row r="8" spans="2:20" x14ac:dyDescent="0.3">
      <c r="B8" s="481"/>
      <c r="C8" s="279" t="s">
        <v>150</v>
      </c>
      <c r="D8" s="280" t="s">
        <v>151</v>
      </c>
      <c r="E8" s="281" t="s">
        <v>152</v>
      </c>
      <c r="F8" s="282" t="s">
        <v>20</v>
      </c>
      <c r="G8" s="283" t="s">
        <v>149</v>
      </c>
      <c r="H8" s="284">
        <v>1</v>
      </c>
      <c r="I8" s="285">
        <v>106.61</v>
      </c>
      <c r="J8" s="286">
        <f t="shared" ref="J8:L34" si="3">I8</f>
        <v>106.61</v>
      </c>
      <c r="K8" s="286">
        <f t="shared" si="3"/>
        <v>106.61</v>
      </c>
      <c r="L8" s="286">
        <f t="shared" si="3"/>
        <v>106.61</v>
      </c>
      <c r="M8" s="285">
        <v>106.61</v>
      </c>
      <c r="N8" s="286">
        <f>J8*'CRCP &amp; Evolutions'!H$73</f>
        <v>109.01946484644203</v>
      </c>
      <c r="O8" s="286">
        <f>K8*'CRCP &amp; Evolutions'!I$73</f>
        <v>116.11952380899804</v>
      </c>
      <c r="P8" s="286">
        <f>L8*'CRCP &amp; Evolutions'!J$73</f>
        <v>118.64893276353486</v>
      </c>
      <c r="Q8" s="287">
        <f t="shared" ref="Q8:Q21" si="4">IF($H8=1,ROUND(M8/12,2)*12,ROUND(M8,2))</f>
        <v>106.56</v>
      </c>
      <c r="R8" s="288">
        <f t="shared" ref="R8:R26" si="5">IF($H8=1,ROUND(N8/12,2)*12,ROUND(N8,2))</f>
        <v>108.96000000000001</v>
      </c>
      <c r="S8" s="288">
        <f t="shared" si="1"/>
        <v>116.16</v>
      </c>
      <c r="T8" s="289">
        <f t="shared" si="2"/>
        <v>118.68</v>
      </c>
    </row>
    <row r="9" spans="2:20" ht="16.5" thickBot="1" x14ac:dyDescent="0.35">
      <c r="B9" s="481"/>
      <c r="C9" s="290"/>
      <c r="D9" s="291" t="s">
        <v>153</v>
      </c>
      <c r="E9" s="292"/>
      <c r="F9" s="293" t="s">
        <v>154</v>
      </c>
      <c r="G9" s="294" t="s">
        <v>149</v>
      </c>
      <c r="H9" s="295">
        <v>1</v>
      </c>
      <c r="I9" s="296">
        <v>7.46</v>
      </c>
      <c r="J9" s="297">
        <f t="shared" si="3"/>
        <v>7.46</v>
      </c>
      <c r="K9" s="297">
        <f t="shared" si="3"/>
        <v>7.46</v>
      </c>
      <c r="L9" s="297">
        <f t="shared" si="3"/>
        <v>7.46</v>
      </c>
      <c r="M9" s="296">
        <v>7.46</v>
      </c>
      <c r="N9" s="297">
        <f>J9*'CRCP &amp; Evolutions'!H$73</f>
        <v>7.6286015172540811</v>
      </c>
      <c r="O9" s="297">
        <f>K9*'CRCP &amp; Evolutions'!I$73</f>
        <v>8.1254258288633849</v>
      </c>
      <c r="P9" s="297">
        <f>L9*'CRCP &amp; Evolutions'!J$73</f>
        <v>8.3024203959850862</v>
      </c>
      <c r="Q9" s="298">
        <f t="shared" si="4"/>
        <v>7.4399999999999995</v>
      </c>
      <c r="R9" s="299">
        <f t="shared" si="5"/>
        <v>7.68</v>
      </c>
      <c r="S9" s="299">
        <f t="shared" si="1"/>
        <v>8.16</v>
      </c>
      <c r="T9" s="300">
        <f t="shared" si="2"/>
        <v>8.2799999999999994</v>
      </c>
    </row>
    <row r="10" spans="2:20" ht="15.75" customHeight="1" x14ac:dyDescent="0.3">
      <c r="B10" s="481"/>
      <c r="C10" s="268" t="s">
        <v>155</v>
      </c>
      <c r="D10" s="301"/>
      <c r="E10" s="302"/>
      <c r="F10" s="271" t="s">
        <v>19</v>
      </c>
      <c r="G10" s="272" t="s">
        <v>149</v>
      </c>
      <c r="H10" s="273">
        <v>1</v>
      </c>
      <c r="I10" s="274">
        <v>213.23</v>
      </c>
      <c r="J10" s="275">
        <f t="shared" si="3"/>
        <v>213.23</v>
      </c>
      <c r="K10" s="275">
        <f t="shared" si="3"/>
        <v>213.23</v>
      </c>
      <c r="L10" s="275">
        <f t="shared" si="3"/>
        <v>213.23</v>
      </c>
      <c r="M10" s="274">
        <v>213.23</v>
      </c>
      <c r="N10" s="275">
        <f>J10*'CRCP &amp; Evolutions'!H$73</f>
        <v>218.04915570027984</v>
      </c>
      <c r="O10" s="275">
        <f>K10*'CRCP &amp; Evolutions'!I$73</f>
        <v>232.24993960972378</v>
      </c>
      <c r="P10" s="275">
        <f>L10*'CRCP &amp; Evolutions'!J$73</f>
        <v>237.30899477693029</v>
      </c>
      <c r="Q10" s="276">
        <f>IF($H10=1,ROUND(M10/12,2)*12,ROUND(M10,2))</f>
        <v>213.24</v>
      </c>
      <c r="R10" s="288">
        <f t="shared" si="5"/>
        <v>218.04000000000002</v>
      </c>
      <c r="S10" s="288">
        <f t="shared" si="1"/>
        <v>232.20000000000002</v>
      </c>
      <c r="T10" s="289">
        <f t="shared" si="2"/>
        <v>237.36</v>
      </c>
    </row>
    <row r="11" spans="2:20" x14ac:dyDescent="0.3">
      <c r="B11" s="481"/>
      <c r="C11" s="279" t="s">
        <v>156</v>
      </c>
      <c r="D11" s="280" t="s">
        <v>157</v>
      </c>
      <c r="E11" s="281" t="s">
        <v>152</v>
      </c>
      <c r="F11" s="282" t="s">
        <v>20</v>
      </c>
      <c r="G11" s="283" t="s">
        <v>149</v>
      </c>
      <c r="H11" s="284">
        <v>1</v>
      </c>
      <c r="I11" s="285">
        <v>106.61</v>
      </c>
      <c r="J11" s="286">
        <f t="shared" si="3"/>
        <v>106.61</v>
      </c>
      <c r="K11" s="286">
        <f t="shared" si="3"/>
        <v>106.61</v>
      </c>
      <c r="L11" s="286">
        <f t="shared" si="3"/>
        <v>106.61</v>
      </c>
      <c r="M11" s="285">
        <v>106.61</v>
      </c>
      <c r="N11" s="286">
        <f>J11*'CRCP &amp; Evolutions'!H$73</f>
        <v>109.01946484644203</v>
      </c>
      <c r="O11" s="286">
        <f>K11*'CRCP &amp; Evolutions'!I$73</f>
        <v>116.11952380899804</v>
      </c>
      <c r="P11" s="286">
        <f>L11*'CRCP &amp; Evolutions'!J$73</f>
        <v>118.64893276353486</v>
      </c>
      <c r="Q11" s="287">
        <f t="shared" si="4"/>
        <v>106.56</v>
      </c>
      <c r="R11" s="288">
        <f t="shared" si="5"/>
        <v>108.96000000000001</v>
      </c>
      <c r="S11" s="288">
        <f t="shared" si="1"/>
        <v>116.16</v>
      </c>
      <c r="T11" s="289">
        <f t="shared" si="2"/>
        <v>118.68</v>
      </c>
    </row>
    <row r="12" spans="2:20" ht="16.5" thickBot="1" x14ac:dyDescent="0.35">
      <c r="B12" s="482"/>
      <c r="C12" s="290"/>
      <c r="D12" s="291"/>
      <c r="E12" s="292"/>
      <c r="F12" s="293" t="s">
        <v>158</v>
      </c>
      <c r="G12" s="294" t="s">
        <v>149</v>
      </c>
      <c r="H12" s="295">
        <v>1</v>
      </c>
      <c r="I12" s="296">
        <v>7.46</v>
      </c>
      <c r="J12" s="297">
        <f t="shared" si="3"/>
        <v>7.46</v>
      </c>
      <c r="K12" s="297">
        <f t="shared" si="3"/>
        <v>7.46</v>
      </c>
      <c r="L12" s="297">
        <f t="shared" si="3"/>
        <v>7.46</v>
      </c>
      <c r="M12" s="296">
        <v>7.46</v>
      </c>
      <c r="N12" s="297">
        <f>J12*'CRCP &amp; Evolutions'!H$73</f>
        <v>7.6286015172540811</v>
      </c>
      <c r="O12" s="297">
        <f>K12*'CRCP &amp; Evolutions'!I$73</f>
        <v>8.1254258288633849</v>
      </c>
      <c r="P12" s="297">
        <f>L12*'CRCP &amp; Evolutions'!J$73</f>
        <v>8.3024203959850862</v>
      </c>
      <c r="Q12" s="298">
        <f t="shared" si="4"/>
        <v>7.4399999999999995</v>
      </c>
      <c r="R12" s="299">
        <f t="shared" si="5"/>
        <v>7.68</v>
      </c>
      <c r="S12" s="299">
        <f t="shared" si="1"/>
        <v>8.16</v>
      </c>
      <c r="T12" s="300">
        <f t="shared" si="2"/>
        <v>8.2799999999999994</v>
      </c>
    </row>
    <row r="13" spans="2:20" ht="19.899999999999999" customHeight="1" x14ac:dyDescent="0.3">
      <c r="B13" s="454" t="s">
        <v>206</v>
      </c>
      <c r="C13" s="303"/>
      <c r="D13" s="304"/>
      <c r="E13" s="305"/>
      <c r="F13" s="271" t="s">
        <v>19</v>
      </c>
      <c r="G13" s="272" t="s">
        <v>149</v>
      </c>
      <c r="H13" s="273">
        <v>1</v>
      </c>
      <c r="I13" s="274">
        <v>319.83999999999997</v>
      </c>
      <c r="J13" s="275">
        <f t="shared" si="3"/>
        <v>319.83999999999997</v>
      </c>
      <c r="K13" s="275">
        <f t="shared" si="3"/>
        <v>319.83999999999997</v>
      </c>
      <c r="L13" s="275">
        <f t="shared" si="3"/>
        <v>319.83999999999997</v>
      </c>
      <c r="M13" s="274">
        <v>319.83999999999997</v>
      </c>
      <c r="N13" s="275">
        <f>J13*'CRCP &amp; Evolutions'!H$73</f>
        <v>327.06862054672183</v>
      </c>
      <c r="O13" s="275">
        <f>K13*'CRCP &amp; Evolutions'!I$73</f>
        <v>348.36946341872181</v>
      </c>
      <c r="P13" s="275">
        <f>L13*'CRCP &amp; Evolutions'!J$73</f>
        <v>355.95792754046511</v>
      </c>
      <c r="Q13" s="276">
        <f>IF($H13=1,ROUND(M13/12,2)*12,ROUND(M13,2))</f>
        <v>319.79999999999995</v>
      </c>
      <c r="R13" s="288">
        <f t="shared" si="5"/>
        <v>327.12</v>
      </c>
      <c r="S13" s="288">
        <f t="shared" si="1"/>
        <v>348.36</v>
      </c>
      <c r="T13" s="289">
        <f t="shared" si="2"/>
        <v>355.92</v>
      </c>
    </row>
    <row r="14" spans="2:20" ht="19.899999999999999" customHeight="1" x14ac:dyDescent="0.3">
      <c r="B14" s="455"/>
      <c r="C14" s="306" t="s">
        <v>159</v>
      </c>
      <c r="D14" s="280" t="s">
        <v>151</v>
      </c>
      <c r="E14" s="281" t="s">
        <v>152</v>
      </c>
      <c r="F14" s="282" t="s">
        <v>20</v>
      </c>
      <c r="G14" s="283" t="s">
        <v>149</v>
      </c>
      <c r="H14" s="284">
        <v>1</v>
      </c>
      <c r="I14" s="285">
        <v>159.91999999999999</v>
      </c>
      <c r="J14" s="286">
        <f t="shared" si="3"/>
        <v>159.91999999999999</v>
      </c>
      <c r="K14" s="286">
        <f t="shared" si="3"/>
        <v>159.91999999999999</v>
      </c>
      <c r="L14" s="286">
        <f t="shared" si="3"/>
        <v>159.91999999999999</v>
      </c>
      <c r="M14" s="285">
        <v>159.32</v>
      </c>
      <c r="N14" s="286">
        <f>J14*'CRCP &amp; Evolutions'!H$73</f>
        <v>163.53431027336092</v>
      </c>
      <c r="O14" s="286">
        <f>K14*'CRCP &amp; Evolutions'!I$73</f>
        <v>174.1847317093609</v>
      </c>
      <c r="P14" s="286">
        <f>L14*'CRCP &amp; Evolutions'!J$73</f>
        <v>177.97896377023255</v>
      </c>
      <c r="Q14" s="287">
        <f t="shared" si="4"/>
        <v>159.35999999999999</v>
      </c>
      <c r="R14" s="288">
        <f t="shared" si="5"/>
        <v>163.56</v>
      </c>
      <c r="S14" s="288">
        <f t="shared" si="1"/>
        <v>174.24</v>
      </c>
      <c r="T14" s="289">
        <f t="shared" si="2"/>
        <v>177.96</v>
      </c>
    </row>
    <row r="15" spans="2:20" ht="19.899999999999999" customHeight="1" thickBot="1" x14ac:dyDescent="0.35">
      <c r="B15" s="455"/>
      <c r="C15" s="279"/>
      <c r="D15" s="280" t="s">
        <v>160</v>
      </c>
      <c r="E15" s="281"/>
      <c r="F15" s="282" t="s">
        <v>154</v>
      </c>
      <c r="G15" s="283" t="s">
        <v>149</v>
      </c>
      <c r="H15" s="284">
        <v>1</v>
      </c>
      <c r="I15" s="285">
        <v>11.19</v>
      </c>
      <c r="J15" s="297">
        <f t="shared" si="3"/>
        <v>11.19</v>
      </c>
      <c r="K15" s="297">
        <f t="shared" si="3"/>
        <v>11.19</v>
      </c>
      <c r="L15" s="297">
        <f t="shared" si="3"/>
        <v>11.19</v>
      </c>
      <c r="M15" s="285">
        <v>11.19</v>
      </c>
      <c r="N15" s="297">
        <f>J15*'CRCP &amp; Evolutions'!H$73</f>
        <v>11.442902275881121</v>
      </c>
      <c r="O15" s="297">
        <f>K15*'CRCP &amp; Evolutions'!I$73</f>
        <v>12.188138743295076</v>
      </c>
      <c r="P15" s="297">
        <f>L15*'CRCP &amp; Evolutions'!J$73</f>
        <v>12.453630593977628</v>
      </c>
      <c r="Q15" s="298">
        <f t="shared" si="4"/>
        <v>11.16</v>
      </c>
      <c r="R15" s="299">
        <f t="shared" si="5"/>
        <v>11.399999999999999</v>
      </c>
      <c r="S15" s="299">
        <f t="shared" si="1"/>
        <v>12.24</v>
      </c>
      <c r="T15" s="300">
        <f t="shared" si="2"/>
        <v>12.48</v>
      </c>
    </row>
    <row r="16" spans="2:20" ht="15.75" customHeight="1" x14ac:dyDescent="0.3">
      <c r="B16" s="471" t="s">
        <v>207</v>
      </c>
      <c r="C16" s="307" t="s">
        <v>148</v>
      </c>
      <c r="D16" s="308"/>
      <c r="E16" s="309"/>
      <c r="F16" s="271" t="s">
        <v>19</v>
      </c>
      <c r="G16" s="272" t="s">
        <v>149</v>
      </c>
      <c r="H16" s="273">
        <v>1</v>
      </c>
      <c r="I16" s="274">
        <v>213.23</v>
      </c>
      <c r="J16" s="275">
        <f t="shared" si="3"/>
        <v>213.23</v>
      </c>
      <c r="K16" s="275">
        <f t="shared" si="3"/>
        <v>213.23</v>
      </c>
      <c r="L16" s="275">
        <f t="shared" si="3"/>
        <v>213.23</v>
      </c>
      <c r="M16" s="274">
        <v>213.23</v>
      </c>
      <c r="N16" s="275">
        <f>J16*'CRCP &amp; Evolutions'!H$73</f>
        <v>218.04915570027984</v>
      </c>
      <c r="O16" s="275">
        <f>K16*'CRCP &amp; Evolutions'!I$73</f>
        <v>232.24993960972378</v>
      </c>
      <c r="P16" s="275">
        <f>L16*'CRCP &amp; Evolutions'!J$73</f>
        <v>237.30899477693029</v>
      </c>
      <c r="Q16" s="276">
        <f>IF($H16=1,ROUND(M16/12,2)*12,ROUND(M16,2))</f>
        <v>213.24</v>
      </c>
      <c r="R16" s="277">
        <f t="shared" si="5"/>
        <v>218.04000000000002</v>
      </c>
      <c r="S16" s="277">
        <f t="shared" si="1"/>
        <v>232.20000000000002</v>
      </c>
      <c r="T16" s="278">
        <f t="shared" si="2"/>
        <v>237.36</v>
      </c>
    </row>
    <row r="17" spans="2:20" x14ac:dyDescent="0.3">
      <c r="B17" s="472"/>
      <c r="C17" s="279" t="s">
        <v>150</v>
      </c>
      <c r="D17" s="280" t="s">
        <v>151</v>
      </c>
      <c r="E17" s="281" t="s">
        <v>152</v>
      </c>
      <c r="F17" s="282" t="s">
        <v>20</v>
      </c>
      <c r="G17" s="283" t="s">
        <v>149</v>
      </c>
      <c r="H17" s="284">
        <v>1</v>
      </c>
      <c r="I17" s="285">
        <v>106.61</v>
      </c>
      <c r="J17" s="286">
        <f t="shared" si="3"/>
        <v>106.61</v>
      </c>
      <c r="K17" s="286">
        <f t="shared" si="3"/>
        <v>106.61</v>
      </c>
      <c r="L17" s="286">
        <f t="shared" si="3"/>
        <v>106.61</v>
      </c>
      <c r="M17" s="285">
        <v>106.61</v>
      </c>
      <c r="N17" s="286">
        <f>J17*'CRCP &amp; Evolutions'!H$73</f>
        <v>109.01946484644203</v>
      </c>
      <c r="O17" s="286">
        <f>K17*'CRCP &amp; Evolutions'!I$73</f>
        <v>116.11952380899804</v>
      </c>
      <c r="P17" s="286">
        <f>L17*'CRCP &amp; Evolutions'!J$73</f>
        <v>118.64893276353486</v>
      </c>
      <c r="Q17" s="287">
        <f t="shared" si="4"/>
        <v>106.56</v>
      </c>
      <c r="R17" s="288">
        <f>IF($H17=1,ROUND(N17/12,2)*12,ROUND(N17,2))</f>
        <v>108.96000000000001</v>
      </c>
      <c r="S17" s="288">
        <f>IF($H17=1,ROUND(O17/12,2)*12,ROUND(O17,2))</f>
        <v>116.16</v>
      </c>
      <c r="T17" s="289">
        <f>IF($H17=1,ROUND(P17/12,2)*12,ROUND(P17,2))</f>
        <v>118.68</v>
      </c>
    </row>
    <row r="18" spans="2:20" ht="16.5" thickBot="1" x14ac:dyDescent="0.35">
      <c r="B18" s="472"/>
      <c r="C18" s="290"/>
      <c r="D18" s="291" t="s">
        <v>153</v>
      </c>
      <c r="E18" s="292"/>
      <c r="F18" s="293" t="s">
        <v>154</v>
      </c>
      <c r="G18" s="294" t="s">
        <v>149</v>
      </c>
      <c r="H18" s="295">
        <v>1</v>
      </c>
      <c r="I18" s="296">
        <v>7.46</v>
      </c>
      <c r="J18" s="297">
        <f t="shared" si="3"/>
        <v>7.46</v>
      </c>
      <c r="K18" s="297">
        <f t="shared" si="3"/>
        <v>7.46</v>
      </c>
      <c r="L18" s="297">
        <f t="shared" si="3"/>
        <v>7.46</v>
      </c>
      <c r="M18" s="296">
        <v>7.46</v>
      </c>
      <c r="N18" s="297">
        <f>J18*'CRCP &amp; Evolutions'!H$73</f>
        <v>7.6286015172540811</v>
      </c>
      <c r="O18" s="297">
        <f>K18*'CRCP &amp; Evolutions'!I$73</f>
        <v>8.1254258288633849</v>
      </c>
      <c r="P18" s="297">
        <f>L18*'CRCP &amp; Evolutions'!J$73</f>
        <v>8.3024203959850862</v>
      </c>
      <c r="Q18" s="298">
        <f t="shared" si="4"/>
        <v>7.4399999999999995</v>
      </c>
      <c r="R18" s="299">
        <f t="shared" si="5"/>
        <v>7.68</v>
      </c>
      <c r="S18" s="299">
        <f t="shared" si="1"/>
        <v>8.16</v>
      </c>
      <c r="T18" s="300">
        <f t="shared" si="2"/>
        <v>8.2799999999999994</v>
      </c>
    </row>
    <row r="19" spans="2:20" ht="15.75" customHeight="1" x14ac:dyDescent="0.3">
      <c r="B19" s="472"/>
      <c r="C19" s="307" t="s">
        <v>155</v>
      </c>
      <c r="D19" s="311"/>
      <c r="E19" s="312"/>
      <c r="F19" s="271" t="s">
        <v>19</v>
      </c>
      <c r="G19" s="272" t="s">
        <v>149</v>
      </c>
      <c r="H19" s="273">
        <v>1</v>
      </c>
      <c r="I19" s="274">
        <v>213.23</v>
      </c>
      <c r="J19" s="275">
        <f t="shared" si="3"/>
        <v>213.23</v>
      </c>
      <c r="K19" s="275">
        <f t="shared" si="3"/>
        <v>213.23</v>
      </c>
      <c r="L19" s="275">
        <f t="shared" si="3"/>
        <v>213.23</v>
      </c>
      <c r="M19" s="274">
        <v>213.23</v>
      </c>
      <c r="N19" s="275">
        <f>J19*'CRCP &amp; Evolutions'!H$73</f>
        <v>218.04915570027984</v>
      </c>
      <c r="O19" s="275">
        <f>K19*'CRCP &amp; Evolutions'!I$73</f>
        <v>232.24993960972378</v>
      </c>
      <c r="P19" s="275">
        <f>L19*'CRCP &amp; Evolutions'!J$73</f>
        <v>237.30899477693029</v>
      </c>
      <c r="Q19" s="276">
        <f>IF($H19=1,ROUND(M19/12,2)*12,ROUND(M19,2))</f>
        <v>213.24</v>
      </c>
      <c r="R19" s="277">
        <f t="shared" si="5"/>
        <v>218.04000000000002</v>
      </c>
      <c r="S19" s="277">
        <f t="shared" si="1"/>
        <v>232.20000000000002</v>
      </c>
      <c r="T19" s="278">
        <f t="shared" si="2"/>
        <v>237.36</v>
      </c>
    </row>
    <row r="20" spans="2:20" x14ac:dyDescent="0.3">
      <c r="B20" s="472"/>
      <c r="C20" s="279" t="s">
        <v>156</v>
      </c>
      <c r="D20" s="280" t="s">
        <v>157</v>
      </c>
      <c r="E20" s="281" t="s">
        <v>152</v>
      </c>
      <c r="F20" s="282" t="s">
        <v>20</v>
      </c>
      <c r="G20" s="283" t="s">
        <v>149</v>
      </c>
      <c r="H20" s="284">
        <v>1</v>
      </c>
      <c r="I20" s="285">
        <v>106.61</v>
      </c>
      <c r="J20" s="286">
        <f t="shared" si="3"/>
        <v>106.61</v>
      </c>
      <c r="K20" s="286">
        <f t="shared" si="3"/>
        <v>106.61</v>
      </c>
      <c r="L20" s="286">
        <f t="shared" si="3"/>
        <v>106.61</v>
      </c>
      <c r="M20" s="285">
        <v>106.61</v>
      </c>
      <c r="N20" s="286">
        <f>J20*'CRCP &amp; Evolutions'!H$73</f>
        <v>109.01946484644203</v>
      </c>
      <c r="O20" s="286">
        <f>K20*'CRCP &amp; Evolutions'!I$73</f>
        <v>116.11952380899804</v>
      </c>
      <c r="P20" s="286">
        <f>L20*'CRCP &amp; Evolutions'!J$73</f>
        <v>118.64893276353486</v>
      </c>
      <c r="Q20" s="287">
        <f t="shared" si="4"/>
        <v>106.56</v>
      </c>
      <c r="R20" s="288">
        <f t="shared" si="5"/>
        <v>108.96000000000001</v>
      </c>
      <c r="S20" s="288">
        <f t="shared" si="1"/>
        <v>116.16</v>
      </c>
      <c r="T20" s="289">
        <f t="shared" si="2"/>
        <v>118.68</v>
      </c>
    </row>
    <row r="21" spans="2:20" ht="16.5" thickBot="1" x14ac:dyDescent="0.35">
      <c r="B21" s="473"/>
      <c r="C21" s="290"/>
      <c r="D21" s="291"/>
      <c r="E21" s="292"/>
      <c r="F21" s="293" t="s">
        <v>158</v>
      </c>
      <c r="G21" s="294" t="s">
        <v>149</v>
      </c>
      <c r="H21" s="295">
        <v>1</v>
      </c>
      <c r="I21" s="296">
        <v>7.46</v>
      </c>
      <c r="J21" s="297">
        <f t="shared" si="3"/>
        <v>7.46</v>
      </c>
      <c r="K21" s="297">
        <f t="shared" si="3"/>
        <v>7.46</v>
      </c>
      <c r="L21" s="297">
        <f t="shared" si="3"/>
        <v>7.46</v>
      </c>
      <c r="M21" s="296">
        <v>7.46</v>
      </c>
      <c r="N21" s="297">
        <f>J21*'CRCP &amp; Evolutions'!H$73</f>
        <v>7.6286015172540811</v>
      </c>
      <c r="O21" s="297">
        <f>K21*'CRCP &amp; Evolutions'!I$73</f>
        <v>8.1254258288633849</v>
      </c>
      <c r="P21" s="297">
        <f>L21*'CRCP &amp; Evolutions'!J$73</f>
        <v>8.3024203959850862</v>
      </c>
      <c r="Q21" s="298">
        <f t="shared" si="4"/>
        <v>7.4399999999999995</v>
      </c>
      <c r="R21" s="299">
        <f t="shared" si="5"/>
        <v>7.68</v>
      </c>
      <c r="S21" s="299">
        <f t="shared" si="1"/>
        <v>8.16</v>
      </c>
      <c r="T21" s="300">
        <f t="shared" si="2"/>
        <v>8.2799999999999994</v>
      </c>
    </row>
    <row r="22" spans="2:20" ht="15.75" customHeight="1" thickBot="1" x14ac:dyDescent="0.35">
      <c r="B22" s="471" t="s">
        <v>208</v>
      </c>
      <c r="C22" s="307" t="s">
        <v>148</v>
      </c>
      <c r="D22" s="308"/>
      <c r="E22" s="309"/>
      <c r="F22" s="313"/>
      <c r="G22" s="314"/>
      <c r="H22" s="315"/>
      <c r="I22" s="310"/>
      <c r="J22" s="316"/>
      <c r="K22" s="316"/>
      <c r="L22" s="316"/>
      <c r="M22" s="310"/>
      <c r="N22" s="316">
        <f>J22*'CRCP &amp; Evolutions'!H$73</f>
        <v>0</v>
      </c>
      <c r="O22" s="316">
        <f>K22*'CRCP &amp; Evolutions'!I$73</f>
        <v>0</v>
      </c>
      <c r="P22" s="316">
        <f>L22*'CRCP &amp; Evolutions'!J$73</f>
        <v>0</v>
      </c>
      <c r="Q22" s="329"/>
      <c r="R22" s="329"/>
      <c r="S22" s="329"/>
      <c r="T22" s="337"/>
    </row>
    <row r="23" spans="2:20" x14ac:dyDescent="0.3">
      <c r="B23" s="472"/>
      <c r="C23" s="279" t="s">
        <v>150</v>
      </c>
      <c r="D23" s="280" t="s">
        <v>151</v>
      </c>
      <c r="E23" s="281" t="s">
        <v>152</v>
      </c>
      <c r="F23" s="282" t="s">
        <v>20</v>
      </c>
      <c r="G23" s="283" t="s">
        <v>149</v>
      </c>
      <c r="H23" s="284">
        <v>1</v>
      </c>
      <c r="I23" s="285">
        <v>159.91999999999999</v>
      </c>
      <c r="J23" s="275">
        <f t="shared" si="3"/>
        <v>159.91999999999999</v>
      </c>
      <c r="K23" s="275">
        <f t="shared" si="3"/>
        <v>159.91999999999999</v>
      </c>
      <c r="L23" s="275">
        <f t="shared" si="3"/>
        <v>159.91999999999999</v>
      </c>
      <c r="M23" s="285">
        <v>159.91999999999999</v>
      </c>
      <c r="N23" s="275">
        <f>J23*'CRCP &amp; Evolutions'!H$73</f>
        <v>163.53431027336092</v>
      </c>
      <c r="O23" s="275">
        <f>K23*'CRCP &amp; Evolutions'!I$73</f>
        <v>174.1847317093609</v>
      </c>
      <c r="P23" s="275">
        <f>L23*'CRCP &amp; Evolutions'!J$73</f>
        <v>177.97896377023255</v>
      </c>
      <c r="Q23" s="276">
        <f>IF($H23=1,ROUND(M23/12,2)*12,ROUND(M23,2))</f>
        <v>159.96</v>
      </c>
      <c r="R23" s="288">
        <f t="shared" si="5"/>
        <v>163.56</v>
      </c>
      <c r="S23" s="288">
        <f t="shared" si="1"/>
        <v>174.24</v>
      </c>
      <c r="T23" s="278">
        <f t="shared" si="2"/>
        <v>177.96</v>
      </c>
    </row>
    <row r="24" spans="2:20" ht="16.5" thickBot="1" x14ac:dyDescent="0.35">
      <c r="B24" s="472"/>
      <c r="C24" s="290"/>
      <c r="D24" s="291" t="s">
        <v>153</v>
      </c>
      <c r="E24" s="292"/>
      <c r="F24" s="293" t="s">
        <v>154</v>
      </c>
      <c r="G24" s="294" t="s">
        <v>149</v>
      </c>
      <c r="H24" s="295">
        <v>1</v>
      </c>
      <c r="I24" s="296">
        <v>11.19</v>
      </c>
      <c r="J24" s="286">
        <f t="shared" si="3"/>
        <v>11.19</v>
      </c>
      <c r="K24" s="286">
        <f t="shared" si="3"/>
        <v>11.19</v>
      </c>
      <c r="L24" s="286">
        <f t="shared" si="3"/>
        <v>11.19</v>
      </c>
      <c r="M24" s="296">
        <v>11.19</v>
      </c>
      <c r="N24" s="286">
        <f>J24*'CRCP &amp; Evolutions'!H$73</f>
        <v>11.442902275881121</v>
      </c>
      <c r="O24" s="286">
        <f>K24*'CRCP &amp; Evolutions'!I$73</f>
        <v>12.188138743295076</v>
      </c>
      <c r="P24" s="286">
        <f>L24*'CRCP &amp; Evolutions'!J$73</f>
        <v>12.453630593977628</v>
      </c>
      <c r="Q24" s="287">
        <f t="shared" ref="Q24" si="6">IF($H24=1,ROUND(M24/12,2)*12,ROUND(M24,2))</f>
        <v>11.16</v>
      </c>
      <c r="R24" s="288">
        <f t="shared" si="5"/>
        <v>11.399999999999999</v>
      </c>
      <c r="S24" s="288">
        <f t="shared" si="1"/>
        <v>12.24</v>
      </c>
      <c r="T24" s="300">
        <f t="shared" si="2"/>
        <v>12.48</v>
      </c>
    </row>
    <row r="25" spans="2:20" ht="15.75" customHeight="1" thickBot="1" x14ac:dyDescent="0.35">
      <c r="B25" s="472"/>
      <c r="C25" s="307" t="s">
        <v>155</v>
      </c>
      <c r="D25" s="311"/>
      <c r="E25" s="312"/>
      <c r="F25" s="313"/>
      <c r="G25" s="314"/>
      <c r="H25" s="315"/>
      <c r="I25" s="310"/>
      <c r="J25" s="316"/>
      <c r="K25" s="316"/>
      <c r="L25" s="316"/>
      <c r="M25" s="310"/>
      <c r="N25" s="316">
        <f>J25*'CRCP &amp; Evolutions'!H$73</f>
        <v>0</v>
      </c>
      <c r="O25" s="316">
        <f>K25*'CRCP &amp; Evolutions'!I$73</f>
        <v>0</v>
      </c>
      <c r="P25" s="316">
        <f>L25*'CRCP &amp; Evolutions'!J$73</f>
        <v>0</v>
      </c>
      <c r="Q25" s="329"/>
      <c r="R25" s="329"/>
      <c r="S25" s="329"/>
      <c r="T25" s="337"/>
    </row>
    <row r="26" spans="2:20" x14ac:dyDescent="0.3">
      <c r="B26" s="472"/>
      <c r="C26" s="279" t="s">
        <v>156</v>
      </c>
      <c r="D26" s="280" t="s">
        <v>157</v>
      </c>
      <c r="E26" s="281" t="s">
        <v>152</v>
      </c>
      <c r="F26" s="282" t="s">
        <v>20</v>
      </c>
      <c r="G26" s="283" t="s">
        <v>149</v>
      </c>
      <c r="H26" s="284">
        <v>1</v>
      </c>
      <c r="I26" s="285">
        <v>159.91999999999999</v>
      </c>
      <c r="J26" s="275">
        <f t="shared" si="3"/>
        <v>159.91999999999999</v>
      </c>
      <c r="K26" s="275">
        <f t="shared" si="3"/>
        <v>159.91999999999999</v>
      </c>
      <c r="L26" s="275">
        <f t="shared" si="3"/>
        <v>159.91999999999999</v>
      </c>
      <c r="M26" s="285">
        <v>159.91999999999999</v>
      </c>
      <c r="N26" s="275">
        <f>J26*'CRCP &amp; Evolutions'!H$73</f>
        <v>163.53431027336092</v>
      </c>
      <c r="O26" s="275">
        <f>K26*'CRCP &amp; Evolutions'!I$73</f>
        <v>174.1847317093609</v>
      </c>
      <c r="P26" s="275">
        <f>L26*'CRCP &amp; Evolutions'!J$73</f>
        <v>177.97896377023255</v>
      </c>
      <c r="Q26" s="276">
        <f>IF($H26=1,ROUND(M26/12,2)*12,ROUND(M26,2))</f>
        <v>159.96</v>
      </c>
      <c r="R26" s="288">
        <f t="shared" si="5"/>
        <v>163.56</v>
      </c>
      <c r="S26" s="288">
        <f t="shared" si="1"/>
        <v>174.24</v>
      </c>
      <c r="T26" s="278">
        <f t="shared" si="2"/>
        <v>177.96</v>
      </c>
    </row>
    <row r="27" spans="2:20" ht="16.5" thickBot="1" x14ac:dyDescent="0.35">
      <c r="B27" s="473"/>
      <c r="C27" s="290"/>
      <c r="D27" s="291"/>
      <c r="E27" s="292"/>
      <c r="F27" s="293" t="s">
        <v>158</v>
      </c>
      <c r="G27" s="294" t="s">
        <v>149</v>
      </c>
      <c r="H27" s="295">
        <v>1</v>
      </c>
      <c r="I27" s="296">
        <v>11.19</v>
      </c>
      <c r="J27" s="297">
        <f t="shared" si="3"/>
        <v>11.19</v>
      </c>
      <c r="K27" s="297">
        <f t="shared" si="3"/>
        <v>11.19</v>
      </c>
      <c r="L27" s="297">
        <f t="shared" si="3"/>
        <v>11.19</v>
      </c>
      <c r="M27" s="296">
        <v>11.19</v>
      </c>
      <c r="N27" s="297">
        <f>J27*'CRCP &amp; Evolutions'!H$73</f>
        <v>11.442902275881121</v>
      </c>
      <c r="O27" s="297">
        <f>K27*'CRCP &amp; Evolutions'!I$73</f>
        <v>12.188138743295076</v>
      </c>
      <c r="P27" s="297">
        <f>L27*'CRCP &amp; Evolutions'!J$73</f>
        <v>12.453630593977628</v>
      </c>
      <c r="Q27" s="287">
        <f t="shared" ref="Q27:Q28" si="7">IF($H27=1,ROUND(M27/12,2)*12,ROUND(M27,2))</f>
        <v>11.16</v>
      </c>
      <c r="R27" s="288">
        <f>IF($H27=1,ROUND(N27/12,2)*12,ROUND(N27,2))</f>
        <v>11.399999999999999</v>
      </c>
      <c r="S27" s="288">
        <f t="shared" ref="S27:T28" si="8">IF($H27=1,ROUND(O27/12,2)*12,ROUND(O27,2))</f>
        <v>12.24</v>
      </c>
      <c r="T27" s="300">
        <f t="shared" si="8"/>
        <v>12.48</v>
      </c>
    </row>
    <row r="28" spans="2:20" ht="48" thickBot="1" x14ac:dyDescent="0.35">
      <c r="B28" s="317" t="s">
        <v>209</v>
      </c>
      <c r="C28" s="453" t="s">
        <v>161</v>
      </c>
      <c r="D28" s="452"/>
      <c r="E28" s="452"/>
      <c r="F28" s="318"/>
      <c r="G28" s="319" t="s">
        <v>149</v>
      </c>
      <c r="H28" s="320">
        <v>1</v>
      </c>
      <c r="I28" s="322">
        <v>1.45</v>
      </c>
      <c r="J28" s="297">
        <f t="shared" si="3"/>
        <v>1.45</v>
      </c>
      <c r="K28" s="297">
        <f t="shared" si="3"/>
        <v>1.45</v>
      </c>
      <c r="L28" s="297">
        <f t="shared" si="3"/>
        <v>1.45</v>
      </c>
      <c r="M28" s="322">
        <v>1.45</v>
      </c>
      <c r="N28" s="297">
        <f>J28*'CRCP &amp; Evolutions'!H$73</f>
        <v>1.4827710723885277</v>
      </c>
      <c r="O28" s="297">
        <f>K28*'CRCP &amp; Evolutions'!I$73</f>
        <v>1.5793388005163413</v>
      </c>
      <c r="P28" s="297">
        <f>L28*'CRCP &amp; Evolutions'!J$73</f>
        <v>1.6137412297826239</v>
      </c>
      <c r="Q28" s="323">
        <f t="shared" si="7"/>
        <v>1.44</v>
      </c>
      <c r="R28" s="324">
        <f>IF($H28=1,ROUND(N28/12,2)*12,ROUND(N28,2))</f>
        <v>1.44</v>
      </c>
      <c r="S28" s="324">
        <f t="shared" si="8"/>
        <v>1.56</v>
      </c>
      <c r="T28" s="325">
        <f t="shared" si="8"/>
        <v>1.56</v>
      </c>
    </row>
    <row r="29" spans="2:20" ht="21" customHeight="1" x14ac:dyDescent="0.3">
      <c r="B29" s="454" t="s">
        <v>210</v>
      </c>
      <c r="C29" s="474" t="s">
        <v>162</v>
      </c>
      <c r="D29" s="474"/>
      <c r="E29" s="474"/>
      <c r="F29" s="272" t="s">
        <v>19</v>
      </c>
      <c r="G29" s="272" t="s">
        <v>149</v>
      </c>
      <c r="H29" s="273">
        <v>1</v>
      </c>
      <c r="I29" s="274">
        <v>312.12</v>
      </c>
      <c r="J29" s="286">
        <f t="shared" si="3"/>
        <v>312.12</v>
      </c>
      <c r="K29" s="286">
        <f t="shared" si="3"/>
        <v>312.12</v>
      </c>
      <c r="L29" s="286">
        <f t="shared" si="3"/>
        <v>312.12</v>
      </c>
      <c r="M29" s="274">
        <v>312.12</v>
      </c>
      <c r="N29" s="286">
        <f>J29*'CRCP &amp; Evolutions'!H$73</f>
        <v>319.17414283717744</v>
      </c>
      <c r="O29" s="286">
        <f>K29*'CRCP &amp; Evolutions'!I$73</f>
        <v>339.96084580493829</v>
      </c>
      <c r="P29" s="286">
        <f>L29*'CRCP &amp; Evolutions'!J$73</f>
        <v>347.36614664810526</v>
      </c>
      <c r="Q29" s="276">
        <f>IF($H29=1,ROUND(M29/12,2)*12,ROUND(M29,2))</f>
        <v>312.12</v>
      </c>
      <c r="R29" s="277">
        <f t="shared" ref="R29:R37" si="9">IF($H29=1,ROUND(N29/12,2)*12,ROUND(N29,2))</f>
        <v>319.20000000000005</v>
      </c>
      <c r="S29" s="277">
        <f t="shared" ref="S29:S38" si="10">IF($H29=1,ROUND(O29/12,2)*12,ROUND(O29,2))</f>
        <v>339.96</v>
      </c>
      <c r="T29" s="278">
        <f t="shared" ref="T29:T38" si="11">IF($H29=1,ROUND(P29/12,2)*12,ROUND(P29,2))</f>
        <v>347.4</v>
      </c>
    </row>
    <row r="30" spans="2:20" ht="21" customHeight="1" x14ac:dyDescent="0.3">
      <c r="B30" s="455"/>
      <c r="C30" s="475" t="s">
        <v>162</v>
      </c>
      <c r="D30" s="475"/>
      <c r="E30" s="475"/>
      <c r="F30" s="283" t="s">
        <v>20</v>
      </c>
      <c r="G30" s="283" t="s">
        <v>149</v>
      </c>
      <c r="H30" s="284">
        <v>1</v>
      </c>
      <c r="I30" s="285">
        <v>234.9</v>
      </c>
      <c r="J30" s="286">
        <f t="shared" si="3"/>
        <v>234.9</v>
      </c>
      <c r="K30" s="286">
        <f t="shared" si="3"/>
        <v>234.9</v>
      </c>
      <c r="L30" s="286">
        <f t="shared" si="3"/>
        <v>234.9</v>
      </c>
      <c r="M30" s="285">
        <v>234.9</v>
      </c>
      <c r="N30" s="286">
        <f>J30*'CRCP &amp; Evolutions'!H$73</f>
        <v>240.20891372694149</v>
      </c>
      <c r="O30" s="286">
        <f>K30*'CRCP &amp; Evolutions'!I$73</f>
        <v>255.85288568364732</v>
      </c>
      <c r="P30" s="286">
        <f>L30*'CRCP &amp; Evolutions'!J$73</f>
        <v>261.4260792247851</v>
      </c>
      <c r="Q30" s="287">
        <f t="shared" ref="Q30" si="12">IF($H30=1,ROUND(M30/12,2)*12,ROUND(M30,2))</f>
        <v>234.95999999999998</v>
      </c>
      <c r="R30" s="288">
        <f t="shared" si="9"/>
        <v>240.24</v>
      </c>
      <c r="S30" s="288">
        <f t="shared" si="10"/>
        <v>255.84</v>
      </c>
      <c r="T30" s="289">
        <f t="shared" si="11"/>
        <v>261.48</v>
      </c>
    </row>
    <row r="31" spans="2:20" ht="21" customHeight="1" thickBot="1" x14ac:dyDescent="0.35">
      <c r="B31" s="456"/>
      <c r="C31" s="476" t="s">
        <v>163</v>
      </c>
      <c r="D31" s="476"/>
      <c r="E31" s="476"/>
      <c r="F31" s="294" t="s">
        <v>154</v>
      </c>
      <c r="G31" s="294" t="s">
        <v>149</v>
      </c>
      <c r="H31" s="295">
        <v>1</v>
      </c>
      <c r="I31" s="296">
        <v>18.239999999999998</v>
      </c>
      <c r="J31" s="297">
        <f t="shared" si="3"/>
        <v>18.239999999999998</v>
      </c>
      <c r="K31" s="297">
        <f t="shared" si="3"/>
        <v>18.239999999999998</v>
      </c>
      <c r="L31" s="297">
        <f t="shared" si="3"/>
        <v>18.239999999999998</v>
      </c>
      <c r="M31" s="296">
        <v>18.239999999999998</v>
      </c>
      <c r="N31" s="297">
        <f>J31*'CRCP &amp; Evolutions'!H$73</f>
        <v>18.652237489908099</v>
      </c>
      <c r="O31" s="297">
        <f>K31*'CRCP &amp; Evolutions'!I$73</f>
        <v>19.866992911322804</v>
      </c>
      <c r="P31" s="297">
        <f>L31*'CRCP &amp; Evolutions'!J$73</f>
        <v>20.299751745679352</v>
      </c>
      <c r="Q31" s="298">
        <f>IF($H31=1,ROUND(M31/12,2)*12,ROUND(M31,2))</f>
        <v>18.240000000000002</v>
      </c>
      <c r="R31" s="299">
        <f>IF($H31=1,ROUND(N31/12,2)*12,ROUND(N31,2))</f>
        <v>18.600000000000001</v>
      </c>
      <c r="S31" s="299">
        <f t="shared" si="10"/>
        <v>19.919999999999998</v>
      </c>
      <c r="T31" s="300">
        <f t="shared" si="11"/>
        <v>20.28</v>
      </c>
    </row>
    <row r="32" spans="2:20" ht="47.1" customHeight="1" thickBot="1" x14ac:dyDescent="0.35">
      <c r="B32" s="416" t="s">
        <v>429</v>
      </c>
      <c r="C32" s="453"/>
      <c r="D32" s="452"/>
      <c r="E32" s="452"/>
      <c r="F32" s="294" t="s">
        <v>154</v>
      </c>
      <c r="G32" s="283" t="s">
        <v>149</v>
      </c>
      <c r="H32" s="284">
        <v>1</v>
      </c>
      <c r="I32" s="322">
        <v>49.8</v>
      </c>
      <c r="J32" s="321">
        <f t="shared" si="3"/>
        <v>49.8</v>
      </c>
      <c r="K32" s="321">
        <f t="shared" si="3"/>
        <v>49.8</v>
      </c>
      <c r="L32" s="321">
        <f t="shared" si="3"/>
        <v>49.8</v>
      </c>
      <c r="M32" s="322">
        <f>I32</f>
        <v>49.8</v>
      </c>
      <c r="N32" s="321">
        <f>J32*'CRCP &amp; Evolutions'!H$73</f>
        <v>50.925516830999086</v>
      </c>
      <c r="O32" s="321">
        <f>K32*'CRCP &amp; Evolutions'!I$73</f>
        <v>54.242118803940549</v>
      </c>
      <c r="P32" s="321">
        <f>L32*'CRCP &amp; Evolutions'!J$73</f>
        <v>55.423664305637708</v>
      </c>
      <c r="Q32" s="287">
        <f>IF($H32=1,ROUND(M32/12,2)*12,ROUND(M32,2))</f>
        <v>49.800000000000004</v>
      </c>
      <c r="R32" s="288">
        <f>IF($H32=1,ROUND(N32/12,2)*12,ROUND(N32,2))</f>
        <v>50.88</v>
      </c>
      <c r="S32" s="288">
        <f t="shared" si="10"/>
        <v>54.239999999999995</v>
      </c>
      <c r="T32" s="325">
        <f t="shared" si="11"/>
        <v>55.44</v>
      </c>
    </row>
    <row r="33" spans="2:20" x14ac:dyDescent="0.3">
      <c r="B33" s="460" t="s">
        <v>263</v>
      </c>
      <c r="C33" s="457"/>
      <c r="D33" s="457"/>
      <c r="E33" s="457"/>
      <c r="F33" s="272" t="s">
        <v>19</v>
      </c>
      <c r="G33" s="272" t="s">
        <v>164</v>
      </c>
      <c r="H33" s="273">
        <v>0</v>
      </c>
      <c r="I33" s="285">
        <v>0</v>
      </c>
      <c r="J33" s="286">
        <f t="shared" si="3"/>
        <v>0</v>
      </c>
      <c r="K33" s="286">
        <f t="shared" si="3"/>
        <v>0</v>
      </c>
      <c r="L33" s="286">
        <f t="shared" si="3"/>
        <v>0</v>
      </c>
      <c r="M33" s="285">
        <v>0</v>
      </c>
      <c r="N33" s="286">
        <f>J33*'CRCP &amp; Evolutions'!H$73</f>
        <v>0</v>
      </c>
      <c r="O33" s="286">
        <f>K33*'CRCP &amp; Evolutions'!I$73</f>
        <v>0</v>
      </c>
      <c r="P33" s="286">
        <f>L33*'CRCP &amp; Evolutions'!J$73</f>
        <v>0</v>
      </c>
      <c r="Q33" s="276">
        <f t="shared" ref="Q33:Q170" si="13">M33</f>
        <v>0</v>
      </c>
      <c r="R33" s="277">
        <f t="shared" si="9"/>
        <v>0</v>
      </c>
      <c r="S33" s="277">
        <f t="shared" si="10"/>
        <v>0</v>
      </c>
      <c r="T33" s="278">
        <f t="shared" si="11"/>
        <v>0</v>
      </c>
    </row>
    <row r="34" spans="2:20" ht="15.75" customHeight="1" thickBot="1" x14ac:dyDescent="0.35">
      <c r="B34" s="461"/>
      <c r="C34" s="459"/>
      <c r="D34" s="459"/>
      <c r="E34" s="459"/>
      <c r="F34" s="294" t="s">
        <v>165</v>
      </c>
      <c r="G34" s="294" t="s">
        <v>164</v>
      </c>
      <c r="H34" s="295">
        <v>0</v>
      </c>
      <c r="I34" s="296">
        <v>0</v>
      </c>
      <c r="J34" s="297">
        <f t="shared" si="3"/>
        <v>0</v>
      </c>
      <c r="K34" s="297">
        <f t="shared" si="3"/>
        <v>0</v>
      </c>
      <c r="L34" s="297">
        <f t="shared" si="3"/>
        <v>0</v>
      </c>
      <c r="M34" s="296">
        <v>0</v>
      </c>
      <c r="N34" s="297">
        <f>J34*'CRCP &amp; Evolutions'!H$73</f>
        <v>0</v>
      </c>
      <c r="O34" s="297">
        <f>K34*'CRCP &amp; Evolutions'!I$73</f>
        <v>0</v>
      </c>
      <c r="P34" s="297">
        <f>L34*'CRCP &amp; Evolutions'!J$73</f>
        <v>0</v>
      </c>
      <c r="Q34" s="298">
        <f t="shared" si="13"/>
        <v>0</v>
      </c>
      <c r="R34" s="299">
        <f t="shared" si="9"/>
        <v>0</v>
      </c>
      <c r="S34" s="299">
        <f t="shared" si="10"/>
        <v>0</v>
      </c>
      <c r="T34" s="300">
        <f t="shared" si="11"/>
        <v>0</v>
      </c>
    </row>
    <row r="35" spans="2:20" ht="15.75" customHeight="1" x14ac:dyDescent="0.3">
      <c r="B35" s="454" t="s">
        <v>211</v>
      </c>
      <c r="C35" s="460" t="s">
        <v>166</v>
      </c>
      <c r="D35" s="457"/>
      <c r="E35" s="457"/>
      <c r="F35" s="272" t="s">
        <v>167</v>
      </c>
      <c r="G35" s="326" t="s">
        <v>168</v>
      </c>
      <c r="H35" s="273">
        <v>0</v>
      </c>
      <c r="I35" s="274">
        <v>4.88</v>
      </c>
      <c r="J35" s="286">
        <v>7.09</v>
      </c>
      <c r="K35" s="286">
        <v>9.2899999999999991</v>
      </c>
      <c r="L35" s="286">
        <v>11.49</v>
      </c>
      <c r="M35" s="274">
        <v>4.88</v>
      </c>
      <c r="N35" s="286">
        <f>J35*'CRCP &amp; Evolutions'!H$73</f>
        <v>7.2502392436101113</v>
      </c>
      <c r="O35" s="286">
        <f>K35*'CRCP &amp; Evolutions'!I$73</f>
        <v>10.118660315032283</v>
      </c>
      <c r="P35" s="286">
        <f>L35*'CRCP &amp; Evolutions'!J$73</f>
        <v>12.787508089794725</v>
      </c>
      <c r="Q35" s="276">
        <f>M35</f>
        <v>4.88</v>
      </c>
      <c r="R35" s="277">
        <f t="shared" si="9"/>
        <v>7.25</v>
      </c>
      <c r="S35" s="277">
        <f t="shared" si="10"/>
        <v>10.119999999999999</v>
      </c>
      <c r="T35" s="278">
        <f t="shared" si="11"/>
        <v>12.79</v>
      </c>
    </row>
    <row r="36" spans="2:20" x14ac:dyDescent="0.3">
      <c r="B36" s="455"/>
      <c r="C36" s="470"/>
      <c r="D36" s="458"/>
      <c r="E36" s="458"/>
      <c r="F36" s="283" t="s">
        <v>169</v>
      </c>
      <c r="G36" s="256" t="s">
        <v>168</v>
      </c>
      <c r="H36" s="284">
        <v>0</v>
      </c>
      <c r="I36" s="285">
        <v>4.67</v>
      </c>
      <c r="J36" s="286">
        <v>6.95</v>
      </c>
      <c r="K36" s="286">
        <v>9.2200000000000006</v>
      </c>
      <c r="L36" s="286">
        <v>11.49</v>
      </c>
      <c r="M36" s="285">
        <v>4.67</v>
      </c>
      <c r="N36" s="286">
        <f>J36*'CRCP &amp; Evolutions'!H$73</f>
        <v>7.1070751400691501</v>
      </c>
      <c r="O36" s="286">
        <f>K36*'CRCP &amp; Evolutions'!I$73</f>
        <v>10.042416372938392</v>
      </c>
      <c r="P36" s="286">
        <f>L36*'CRCP &amp; Evolutions'!J$73</f>
        <v>12.787508089794725</v>
      </c>
      <c r="Q36" s="287">
        <f t="shared" si="13"/>
        <v>4.67</v>
      </c>
      <c r="R36" s="288">
        <f t="shared" si="9"/>
        <v>7.11</v>
      </c>
      <c r="S36" s="288">
        <f t="shared" si="10"/>
        <v>10.039999999999999</v>
      </c>
      <c r="T36" s="289">
        <f t="shared" si="11"/>
        <v>12.79</v>
      </c>
    </row>
    <row r="37" spans="2:20" x14ac:dyDescent="0.3">
      <c r="B37" s="455"/>
      <c r="C37" s="470"/>
      <c r="D37" s="458"/>
      <c r="E37" s="458"/>
      <c r="F37" s="283" t="s">
        <v>170</v>
      </c>
      <c r="G37" s="256" t="s">
        <v>168</v>
      </c>
      <c r="H37" s="284">
        <v>0</v>
      </c>
      <c r="I37" s="285">
        <v>4.4000000000000004</v>
      </c>
      <c r="J37" s="286">
        <v>6.76</v>
      </c>
      <c r="K37" s="286">
        <v>9.1300000000000008</v>
      </c>
      <c r="L37" s="286">
        <v>11.49</v>
      </c>
      <c r="M37" s="285">
        <v>4.4000000000000004</v>
      </c>
      <c r="N37" s="286">
        <f>J37*'CRCP &amp; Evolutions'!H$73</f>
        <v>6.9127809995492742</v>
      </c>
      <c r="O37" s="286">
        <f>K37*'CRCP &amp; Evolutions'!I$73</f>
        <v>9.9443884473891018</v>
      </c>
      <c r="P37" s="286">
        <f>L37*'CRCP &amp; Evolutions'!J$73</f>
        <v>12.787508089794725</v>
      </c>
      <c r="Q37" s="287">
        <f t="shared" si="13"/>
        <v>4.4000000000000004</v>
      </c>
      <c r="R37" s="288">
        <f t="shared" si="9"/>
        <v>6.91</v>
      </c>
      <c r="S37" s="288">
        <f t="shared" si="10"/>
        <v>9.94</v>
      </c>
      <c r="T37" s="289">
        <f t="shared" si="11"/>
        <v>12.79</v>
      </c>
    </row>
    <row r="38" spans="2:20" x14ac:dyDescent="0.3">
      <c r="B38" s="455"/>
      <c r="C38" s="470"/>
      <c r="D38" s="458"/>
      <c r="E38" s="458"/>
      <c r="F38" s="283" t="s">
        <v>171</v>
      </c>
      <c r="G38" s="256" t="s">
        <v>168</v>
      </c>
      <c r="H38" s="284">
        <v>0</v>
      </c>
      <c r="I38" s="285">
        <v>4.26</v>
      </c>
      <c r="J38" s="286">
        <v>6.67</v>
      </c>
      <c r="K38" s="286">
        <v>9.08</v>
      </c>
      <c r="L38" s="286">
        <v>11.49</v>
      </c>
      <c r="M38" s="285">
        <v>4.26</v>
      </c>
      <c r="N38" s="286">
        <f>J38*'CRCP &amp; Evolutions'!H$73</f>
        <v>6.8207469329872277</v>
      </c>
      <c r="O38" s="286">
        <f>K38*'CRCP &amp; Evolutions'!I$73</f>
        <v>9.8899284887506074</v>
      </c>
      <c r="P38" s="286">
        <f>L38*'CRCP &amp; Evolutions'!J$73</f>
        <v>12.787508089794725</v>
      </c>
      <c r="Q38" s="287">
        <f t="shared" si="13"/>
        <v>4.26</v>
      </c>
      <c r="R38" s="288">
        <f>IF($H38=1,ROUND(N38/12,2)*12,ROUND(N38,2))</f>
        <v>6.82</v>
      </c>
      <c r="S38" s="288">
        <f t="shared" si="10"/>
        <v>9.89</v>
      </c>
      <c r="T38" s="289">
        <f t="shared" si="11"/>
        <v>12.79</v>
      </c>
    </row>
    <row r="39" spans="2:20" ht="16.5" thickBot="1" x14ac:dyDescent="0.35">
      <c r="B39" s="455"/>
      <c r="C39" s="461"/>
      <c r="D39" s="459"/>
      <c r="E39" s="459"/>
      <c r="F39" s="294" t="s">
        <v>172</v>
      </c>
      <c r="G39" s="327" t="s">
        <v>168</v>
      </c>
      <c r="H39" s="295">
        <v>0</v>
      </c>
      <c r="I39" s="296">
        <v>3.6</v>
      </c>
      <c r="J39" s="297">
        <v>6.23</v>
      </c>
      <c r="K39" s="297">
        <v>8.86</v>
      </c>
      <c r="L39" s="297">
        <v>11.49</v>
      </c>
      <c r="M39" s="296">
        <v>3.6</v>
      </c>
      <c r="N39" s="297">
        <f>J39*'CRCP &amp; Evolutions'!H$73</f>
        <v>6.3708026075727782</v>
      </c>
      <c r="O39" s="297">
        <f>K39*'CRCP &amp; Evolutions'!I$73</f>
        <v>9.6503046707412299</v>
      </c>
      <c r="P39" s="297">
        <f>L39*'CRCP &amp; Evolutions'!J$73</f>
        <v>12.787508089794725</v>
      </c>
      <c r="Q39" s="298">
        <f t="shared" si="13"/>
        <v>3.6</v>
      </c>
      <c r="R39" s="299">
        <f t="shared" ref="R39:R102" si="14">IF($H39=1,ROUND(N39/12,2)*12,ROUND(N39,2))</f>
        <v>6.37</v>
      </c>
      <c r="S39" s="299">
        <f t="shared" ref="S39:S102" si="15">IF($H39=1,ROUND(O39/12,2)*12,ROUND(O39,2))</f>
        <v>9.65</v>
      </c>
      <c r="T39" s="300">
        <f t="shared" ref="T39:T102" si="16">IF($H39=1,ROUND(P39/12,2)*12,ROUND(P39,2))</f>
        <v>12.79</v>
      </c>
    </row>
    <row r="40" spans="2:20" ht="15.75" customHeight="1" x14ac:dyDescent="0.3">
      <c r="B40" s="455"/>
      <c r="C40" s="460" t="s">
        <v>173</v>
      </c>
      <c r="D40" s="457"/>
      <c r="E40" s="457"/>
      <c r="F40" s="272" t="s">
        <v>167</v>
      </c>
      <c r="G40" s="326" t="s">
        <v>174</v>
      </c>
      <c r="H40" s="273">
        <v>0</v>
      </c>
      <c r="I40" s="274">
        <v>3.73</v>
      </c>
      <c r="J40" s="286">
        <v>4.32</v>
      </c>
      <c r="K40" s="286">
        <v>4.91</v>
      </c>
      <c r="L40" s="286">
        <v>5.5</v>
      </c>
      <c r="M40" s="274">
        <v>3.73</v>
      </c>
      <c r="N40" s="286">
        <f>J40*'CRCP &amp; Evolutions'!H$73</f>
        <v>4.4176351949782351</v>
      </c>
      <c r="O40" s="286">
        <f>K40*'CRCP &amp; Evolutions'!I$73</f>
        <v>5.3479679383001635</v>
      </c>
      <c r="P40" s="286">
        <f>L40*'CRCP &amp; Evolutions'!J$73</f>
        <v>6.1210874233134014</v>
      </c>
      <c r="Q40" s="276">
        <f t="shared" si="13"/>
        <v>3.73</v>
      </c>
      <c r="R40" s="277">
        <f t="shared" si="14"/>
        <v>4.42</v>
      </c>
      <c r="S40" s="277">
        <f t="shared" si="15"/>
        <v>5.35</v>
      </c>
      <c r="T40" s="278">
        <f t="shared" si="16"/>
        <v>6.12</v>
      </c>
    </row>
    <row r="41" spans="2:20" x14ac:dyDescent="0.3">
      <c r="B41" s="455"/>
      <c r="C41" s="470"/>
      <c r="D41" s="458"/>
      <c r="E41" s="458"/>
      <c r="F41" s="283" t="s">
        <v>169</v>
      </c>
      <c r="G41" s="256" t="s">
        <v>174</v>
      </c>
      <c r="H41" s="284">
        <v>0</v>
      </c>
      <c r="I41" s="285">
        <v>3.2</v>
      </c>
      <c r="J41" s="286">
        <v>3.44</v>
      </c>
      <c r="K41" s="286">
        <v>3.68</v>
      </c>
      <c r="L41" s="286">
        <v>3.94</v>
      </c>
      <c r="M41" s="285">
        <v>3.2</v>
      </c>
      <c r="N41" s="286">
        <f>J41*'CRCP &amp; Evolutions'!H$73</f>
        <v>3.5177465441493347</v>
      </c>
      <c r="O41" s="286">
        <f>K41*'CRCP &amp; Evolutions'!I$73</f>
        <v>4.0082529557931981</v>
      </c>
      <c r="P41" s="286">
        <f>L41*'CRCP &amp; Evolutions'!J$73</f>
        <v>4.3849244450645095</v>
      </c>
      <c r="Q41" s="287">
        <f t="shared" si="13"/>
        <v>3.2</v>
      </c>
      <c r="R41" s="288">
        <f t="shared" si="14"/>
        <v>3.52</v>
      </c>
      <c r="S41" s="288">
        <f t="shared" si="15"/>
        <v>4.01</v>
      </c>
      <c r="T41" s="289">
        <f t="shared" si="16"/>
        <v>4.38</v>
      </c>
    </row>
    <row r="42" spans="2:20" x14ac:dyDescent="0.3">
      <c r="B42" s="455"/>
      <c r="C42" s="470"/>
      <c r="D42" s="458"/>
      <c r="E42" s="458"/>
      <c r="F42" s="283" t="s">
        <v>170</v>
      </c>
      <c r="G42" s="256" t="s">
        <v>174</v>
      </c>
      <c r="H42" s="284">
        <v>0</v>
      </c>
      <c r="I42" s="285">
        <v>2.17</v>
      </c>
      <c r="J42" s="286">
        <v>2.21</v>
      </c>
      <c r="K42" s="286">
        <v>2.25</v>
      </c>
      <c r="L42" s="286">
        <v>2.2999999999999998</v>
      </c>
      <c r="M42" s="285">
        <v>2.17</v>
      </c>
      <c r="N42" s="286">
        <f>J42*'CRCP &amp; Evolutions'!H$73</f>
        <v>2.2599476344680318</v>
      </c>
      <c r="O42" s="286">
        <f>K42*'CRCP &amp; Evolutions'!I$73</f>
        <v>2.4506981387322542</v>
      </c>
      <c r="P42" s="286">
        <f>L42*'CRCP &amp; Evolutions'!J$73</f>
        <v>2.5597274679310584</v>
      </c>
      <c r="Q42" s="287">
        <f t="shared" si="13"/>
        <v>2.17</v>
      </c>
      <c r="R42" s="288">
        <f t="shared" si="14"/>
        <v>2.2599999999999998</v>
      </c>
      <c r="S42" s="288">
        <f t="shared" si="15"/>
        <v>2.4500000000000002</v>
      </c>
      <c r="T42" s="289">
        <f t="shared" si="16"/>
        <v>2.56</v>
      </c>
    </row>
    <row r="43" spans="2:20" x14ac:dyDescent="0.3">
      <c r="B43" s="455"/>
      <c r="C43" s="470"/>
      <c r="D43" s="458"/>
      <c r="E43" s="458"/>
      <c r="F43" s="283" t="s">
        <v>171</v>
      </c>
      <c r="G43" s="256" t="s">
        <v>174</v>
      </c>
      <c r="H43" s="284">
        <v>0</v>
      </c>
      <c r="I43" s="285">
        <v>1.64</v>
      </c>
      <c r="J43" s="286">
        <v>1.32</v>
      </c>
      <c r="K43" s="286">
        <v>0.99</v>
      </c>
      <c r="L43" s="286">
        <v>0.67</v>
      </c>
      <c r="M43" s="285">
        <v>1.64</v>
      </c>
      <c r="N43" s="286">
        <f>J43*'CRCP &amp; Evolutions'!H$73</f>
        <v>1.3498329762433494</v>
      </c>
      <c r="O43" s="286">
        <f>K43*'CRCP &amp; Evolutions'!I$73</f>
        <v>1.0783071810421918</v>
      </c>
      <c r="P43" s="286">
        <f>L43*'CRCP &amp; Evolutions'!J$73</f>
        <v>0.74565974065817808</v>
      </c>
      <c r="Q43" s="287">
        <f t="shared" si="13"/>
        <v>1.64</v>
      </c>
      <c r="R43" s="288">
        <f t="shared" si="14"/>
        <v>1.35</v>
      </c>
      <c r="S43" s="288">
        <f t="shared" si="15"/>
        <v>1.08</v>
      </c>
      <c r="T43" s="289">
        <f t="shared" si="16"/>
        <v>0.75</v>
      </c>
    </row>
    <row r="44" spans="2:20" ht="16.5" thickBot="1" x14ac:dyDescent="0.35">
      <c r="B44" s="456"/>
      <c r="C44" s="461"/>
      <c r="D44" s="459"/>
      <c r="E44" s="459"/>
      <c r="F44" s="294" t="s">
        <v>172</v>
      </c>
      <c r="G44" s="327" t="s">
        <v>174</v>
      </c>
      <c r="H44" s="295">
        <v>0</v>
      </c>
      <c r="I44" s="296">
        <v>1.01</v>
      </c>
      <c r="J44" s="297">
        <v>0.82</v>
      </c>
      <c r="K44" s="297">
        <v>0.64</v>
      </c>
      <c r="L44" s="297">
        <v>0.44</v>
      </c>
      <c r="M44" s="296">
        <v>1.01</v>
      </c>
      <c r="N44" s="297">
        <f>J44*'CRCP &amp; Evolutions'!H$73</f>
        <v>0.8385326064542018</v>
      </c>
      <c r="O44" s="297">
        <f>K44*'CRCP &amp; Evolutions'!I$73</f>
        <v>0.69708747057273002</v>
      </c>
      <c r="P44" s="297">
        <f>L44*'CRCP &amp; Evolutions'!J$73</f>
        <v>0.48968699386507214</v>
      </c>
      <c r="Q44" s="298">
        <f t="shared" si="13"/>
        <v>1.01</v>
      </c>
      <c r="R44" s="299">
        <f t="shared" si="14"/>
        <v>0.84</v>
      </c>
      <c r="S44" s="299">
        <f t="shared" si="15"/>
        <v>0.7</v>
      </c>
      <c r="T44" s="300">
        <f t="shared" si="16"/>
        <v>0.49</v>
      </c>
    </row>
    <row r="45" spans="2:20" ht="15.75" customHeight="1" x14ac:dyDescent="0.3">
      <c r="B45" s="454" t="s">
        <v>212</v>
      </c>
      <c r="C45" s="460" t="s">
        <v>166</v>
      </c>
      <c r="D45" s="457"/>
      <c r="E45" s="457"/>
      <c r="F45" s="272" t="s">
        <v>167</v>
      </c>
      <c r="G45" s="326" t="s">
        <v>168</v>
      </c>
      <c r="H45" s="273">
        <v>0</v>
      </c>
      <c r="I45" s="274">
        <v>19.36</v>
      </c>
      <c r="J45" s="286">
        <v>22.25</v>
      </c>
      <c r="K45" s="286">
        <v>25.15</v>
      </c>
      <c r="L45" s="286">
        <v>28.04</v>
      </c>
      <c r="M45" s="274">
        <v>19.36</v>
      </c>
      <c r="N45" s="286">
        <f>J45*'CRCP &amp; Evolutions'!H$73</f>
        <v>22.752866455617063</v>
      </c>
      <c r="O45" s="286">
        <f>K45*'CRCP &amp; Evolutions'!I$73</f>
        <v>27.393359195162748</v>
      </c>
      <c r="P45" s="286">
        <f>L45*'CRCP &amp; Evolutions'!J$73</f>
        <v>31.206416609037777</v>
      </c>
      <c r="Q45" s="276">
        <f t="shared" si="13"/>
        <v>19.36</v>
      </c>
      <c r="R45" s="277">
        <f t="shared" si="14"/>
        <v>22.75</v>
      </c>
      <c r="S45" s="277">
        <f t="shared" si="15"/>
        <v>27.39</v>
      </c>
      <c r="T45" s="278">
        <f t="shared" si="16"/>
        <v>31.21</v>
      </c>
    </row>
    <row r="46" spans="2:20" x14ac:dyDescent="0.3">
      <c r="B46" s="455"/>
      <c r="C46" s="470"/>
      <c r="D46" s="458"/>
      <c r="E46" s="458"/>
      <c r="F46" s="283" t="s">
        <v>169</v>
      </c>
      <c r="G46" s="256" t="s">
        <v>168</v>
      </c>
      <c r="H46" s="284">
        <v>0</v>
      </c>
      <c r="I46" s="285">
        <v>18.260000000000002</v>
      </c>
      <c r="J46" s="286">
        <v>20.61</v>
      </c>
      <c r="K46" s="286">
        <v>22.96</v>
      </c>
      <c r="L46" s="286">
        <v>25.31</v>
      </c>
      <c r="M46" s="285">
        <v>18.260000000000002</v>
      </c>
      <c r="N46" s="286">
        <f>J46*'CRCP &amp; Evolutions'!H$73</f>
        <v>21.075801242708661</v>
      </c>
      <c r="O46" s="286">
        <f>K46*'CRCP &amp; Evolutions'!I$73</f>
        <v>25.008013006796691</v>
      </c>
      <c r="P46" s="286">
        <f>L46*'CRCP &amp; Evolutions'!J$73</f>
        <v>28.168131397102215</v>
      </c>
      <c r="Q46" s="287">
        <f t="shared" si="13"/>
        <v>18.260000000000002</v>
      </c>
      <c r="R46" s="288">
        <f t="shared" si="14"/>
        <v>21.08</v>
      </c>
      <c r="S46" s="288">
        <f t="shared" si="15"/>
        <v>25.01</v>
      </c>
      <c r="T46" s="289">
        <f t="shared" si="16"/>
        <v>28.17</v>
      </c>
    </row>
    <row r="47" spans="2:20" x14ac:dyDescent="0.3">
      <c r="B47" s="455"/>
      <c r="C47" s="470"/>
      <c r="D47" s="458"/>
      <c r="E47" s="458"/>
      <c r="F47" s="283" t="s">
        <v>170</v>
      </c>
      <c r="G47" s="256" t="s">
        <v>168</v>
      </c>
      <c r="H47" s="284">
        <v>0</v>
      </c>
      <c r="I47" s="285">
        <v>13.85</v>
      </c>
      <c r="J47" s="286">
        <v>14.28</v>
      </c>
      <c r="K47" s="286">
        <v>14.7</v>
      </c>
      <c r="L47" s="286">
        <v>15.14</v>
      </c>
      <c r="M47" s="285">
        <v>13.85</v>
      </c>
      <c r="N47" s="286">
        <f>J47*'CRCP &amp; Evolutions'!H$73</f>
        <v>14.602738561178052</v>
      </c>
      <c r="O47" s="286">
        <f>K47*'CRCP &amp; Evolutions'!I$73</f>
        <v>16.011227839717392</v>
      </c>
      <c r="P47" s="286">
        <f>L47*'CRCP &amp; Evolutions'!J$73</f>
        <v>16.849684288902708</v>
      </c>
      <c r="Q47" s="287">
        <f t="shared" si="13"/>
        <v>13.85</v>
      </c>
      <c r="R47" s="288">
        <f t="shared" si="14"/>
        <v>14.6</v>
      </c>
      <c r="S47" s="288">
        <f t="shared" si="15"/>
        <v>16.010000000000002</v>
      </c>
      <c r="T47" s="289">
        <f t="shared" si="16"/>
        <v>16.850000000000001</v>
      </c>
    </row>
    <row r="48" spans="2:20" x14ac:dyDescent="0.3">
      <c r="B48" s="455"/>
      <c r="C48" s="470"/>
      <c r="D48" s="458"/>
      <c r="E48" s="458"/>
      <c r="F48" s="283" t="s">
        <v>171</v>
      </c>
      <c r="G48" s="256" t="s">
        <v>168</v>
      </c>
      <c r="H48" s="284">
        <v>0</v>
      </c>
      <c r="I48" s="285">
        <v>9.7100000000000009</v>
      </c>
      <c r="J48" s="286">
        <v>10.59</v>
      </c>
      <c r="K48" s="286">
        <v>11.47</v>
      </c>
      <c r="L48" s="286">
        <v>12.35</v>
      </c>
      <c r="M48" s="285">
        <v>9.7100000000000009</v>
      </c>
      <c r="N48" s="286">
        <f>J48*'CRCP &amp; Evolutions'!H$73</f>
        <v>10.829341832134144</v>
      </c>
      <c r="O48" s="286">
        <f>K48*'CRCP &amp; Evolutions'!I$73</f>
        <v>12.493114511670646</v>
      </c>
      <c r="P48" s="286">
        <f>L48*'CRCP &amp; Evolutions'!J$73</f>
        <v>13.744623577803729</v>
      </c>
      <c r="Q48" s="287">
        <f t="shared" si="13"/>
        <v>9.7100000000000009</v>
      </c>
      <c r="R48" s="288">
        <f t="shared" si="14"/>
        <v>10.83</v>
      </c>
      <c r="S48" s="288">
        <f t="shared" si="15"/>
        <v>12.49</v>
      </c>
      <c r="T48" s="289">
        <f t="shared" si="16"/>
        <v>13.74</v>
      </c>
    </row>
    <row r="49" spans="2:20" ht="16.5" thickBot="1" x14ac:dyDescent="0.35">
      <c r="B49" s="455"/>
      <c r="C49" s="461"/>
      <c r="D49" s="459"/>
      <c r="E49" s="459"/>
      <c r="F49" s="294" t="s">
        <v>172</v>
      </c>
      <c r="G49" s="327" t="s">
        <v>168</v>
      </c>
      <c r="H49" s="295">
        <v>0</v>
      </c>
      <c r="I49" s="296">
        <v>4.1500000000000004</v>
      </c>
      <c r="J49" s="297">
        <v>6.61</v>
      </c>
      <c r="K49" s="297">
        <v>9.08</v>
      </c>
      <c r="L49" s="297">
        <v>11.54</v>
      </c>
      <c r="M49" s="296">
        <v>4.1500000000000004</v>
      </c>
      <c r="N49" s="297">
        <f>J49*'CRCP &amp; Evolutions'!H$73</f>
        <v>6.75939088861253</v>
      </c>
      <c r="O49" s="297">
        <f>K49*'CRCP &amp; Evolutions'!I$73</f>
        <v>9.8899284887506074</v>
      </c>
      <c r="P49" s="297">
        <f>L49*'CRCP &amp; Evolutions'!J$73</f>
        <v>12.843154339097572</v>
      </c>
      <c r="Q49" s="298">
        <f t="shared" si="13"/>
        <v>4.1500000000000004</v>
      </c>
      <c r="R49" s="299">
        <f t="shared" si="14"/>
        <v>6.76</v>
      </c>
      <c r="S49" s="299">
        <f t="shared" si="15"/>
        <v>9.89</v>
      </c>
      <c r="T49" s="300">
        <f t="shared" si="16"/>
        <v>12.84</v>
      </c>
    </row>
    <row r="50" spans="2:20" ht="15.75" customHeight="1" x14ac:dyDescent="0.3">
      <c r="B50" s="455"/>
      <c r="C50" s="460" t="s">
        <v>173</v>
      </c>
      <c r="D50" s="457"/>
      <c r="E50" s="457"/>
      <c r="F50" s="272" t="s">
        <v>167</v>
      </c>
      <c r="G50" s="326" t="s">
        <v>174</v>
      </c>
      <c r="H50" s="273">
        <v>0</v>
      </c>
      <c r="I50" s="274">
        <v>2.8</v>
      </c>
      <c r="J50" s="286">
        <v>2.72</v>
      </c>
      <c r="K50" s="286">
        <v>2.64</v>
      </c>
      <c r="L50" s="286">
        <v>2.57</v>
      </c>
      <c r="M50" s="274">
        <v>2.8</v>
      </c>
      <c r="N50" s="286">
        <f>J50*'CRCP &amp; Evolutions'!H$73</f>
        <v>2.7814740116529628</v>
      </c>
      <c r="O50" s="286">
        <f>K50*'CRCP &amp; Evolutions'!I$73</f>
        <v>2.8754858161125116</v>
      </c>
      <c r="P50" s="286">
        <f>L50*'CRCP &amp; Evolutions'!J$73</f>
        <v>2.8602172141664437</v>
      </c>
      <c r="Q50" s="276">
        <f t="shared" si="13"/>
        <v>2.8</v>
      </c>
      <c r="R50" s="277">
        <f t="shared" si="14"/>
        <v>2.78</v>
      </c>
      <c r="S50" s="277">
        <f t="shared" si="15"/>
        <v>2.88</v>
      </c>
      <c r="T50" s="278">
        <f t="shared" si="16"/>
        <v>2.86</v>
      </c>
    </row>
    <row r="51" spans="2:20" x14ac:dyDescent="0.3">
      <c r="B51" s="455"/>
      <c r="C51" s="470"/>
      <c r="D51" s="458"/>
      <c r="E51" s="458"/>
      <c r="F51" s="283" t="s">
        <v>169</v>
      </c>
      <c r="G51" s="256" t="s">
        <v>174</v>
      </c>
      <c r="H51" s="284">
        <v>0</v>
      </c>
      <c r="I51" s="285">
        <v>2.11</v>
      </c>
      <c r="J51" s="286">
        <v>2.06</v>
      </c>
      <c r="K51" s="286">
        <v>2.0099999999999998</v>
      </c>
      <c r="L51" s="286">
        <v>1.96</v>
      </c>
      <c r="M51" s="285">
        <v>2.11</v>
      </c>
      <c r="N51" s="286">
        <f>J51*'CRCP &amp; Evolutions'!H$73</f>
        <v>2.1065575235312877</v>
      </c>
      <c r="O51" s="286">
        <f>K51*'CRCP &amp; Evolutions'!I$73</f>
        <v>2.1892903372674799</v>
      </c>
      <c r="P51" s="286">
        <f>L51*'CRCP &amp; Evolutions'!J$73</f>
        <v>2.1813329726716848</v>
      </c>
      <c r="Q51" s="287">
        <f t="shared" si="13"/>
        <v>2.11</v>
      </c>
      <c r="R51" s="288">
        <f t="shared" si="14"/>
        <v>2.11</v>
      </c>
      <c r="S51" s="288">
        <f t="shared" si="15"/>
        <v>2.19</v>
      </c>
      <c r="T51" s="289">
        <f t="shared" si="16"/>
        <v>2.1800000000000002</v>
      </c>
    </row>
    <row r="52" spans="2:20" x14ac:dyDescent="0.3">
      <c r="B52" s="455"/>
      <c r="C52" s="470"/>
      <c r="D52" s="458"/>
      <c r="E52" s="458"/>
      <c r="F52" s="283" t="s">
        <v>170</v>
      </c>
      <c r="G52" s="256" t="s">
        <v>174</v>
      </c>
      <c r="H52" s="284">
        <v>0</v>
      </c>
      <c r="I52" s="285">
        <v>1.38</v>
      </c>
      <c r="J52" s="286">
        <v>1.42</v>
      </c>
      <c r="K52" s="286">
        <v>1.45</v>
      </c>
      <c r="L52" s="286">
        <v>1.49</v>
      </c>
      <c r="M52" s="285">
        <v>1.38</v>
      </c>
      <c r="N52" s="286">
        <f>J52*'CRCP &amp; Evolutions'!H$73</f>
        <v>1.4520930502011788</v>
      </c>
      <c r="O52" s="286">
        <f>K52*'CRCP &amp; Evolutions'!I$73</f>
        <v>1.5793388005163413</v>
      </c>
      <c r="P52" s="286">
        <f>L52*'CRCP &amp; Evolutions'!J$73</f>
        <v>1.6582582292249033</v>
      </c>
      <c r="Q52" s="287">
        <f t="shared" si="13"/>
        <v>1.38</v>
      </c>
      <c r="R52" s="288">
        <f t="shared" si="14"/>
        <v>1.45</v>
      </c>
      <c r="S52" s="288">
        <f t="shared" si="15"/>
        <v>1.58</v>
      </c>
      <c r="T52" s="289">
        <f t="shared" si="16"/>
        <v>1.66</v>
      </c>
    </row>
    <row r="53" spans="2:20" x14ac:dyDescent="0.3">
      <c r="B53" s="455"/>
      <c r="C53" s="470"/>
      <c r="D53" s="458"/>
      <c r="E53" s="458"/>
      <c r="F53" s="283" t="s">
        <v>171</v>
      </c>
      <c r="G53" s="256" t="s">
        <v>174</v>
      </c>
      <c r="H53" s="284">
        <v>0</v>
      </c>
      <c r="I53" s="285">
        <v>0.89</v>
      </c>
      <c r="J53" s="286">
        <v>0.78</v>
      </c>
      <c r="K53" s="286">
        <v>0.68</v>
      </c>
      <c r="L53" s="286">
        <v>0.56999999999999995</v>
      </c>
      <c r="M53" s="285">
        <v>0.89</v>
      </c>
      <c r="N53" s="286">
        <f>J53*'CRCP &amp; Evolutions'!H$73</f>
        <v>0.79762857687107014</v>
      </c>
      <c r="O53" s="286">
        <f>K53*'CRCP &amp; Evolutions'!I$73</f>
        <v>0.74065543748352569</v>
      </c>
      <c r="P53" s="286">
        <f>L53*'CRCP &amp; Evolutions'!J$73</f>
        <v>0.63436724205247974</v>
      </c>
      <c r="Q53" s="287">
        <f t="shared" si="13"/>
        <v>0.89</v>
      </c>
      <c r="R53" s="288">
        <f t="shared" si="14"/>
        <v>0.8</v>
      </c>
      <c r="S53" s="288">
        <f t="shared" si="15"/>
        <v>0.74</v>
      </c>
      <c r="T53" s="289">
        <f t="shared" si="16"/>
        <v>0.63</v>
      </c>
    </row>
    <row r="54" spans="2:20" ht="16.5" thickBot="1" x14ac:dyDescent="0.35">
      <c r="B54" s="456"/>
      <c r="C54" s="461"/>
      <c r="D54" s="459"/>
      <c r="E54" s="459"/>
      <c r="F54" s="294" t="s">
        <v>172</v>
      </c>
      <c r="G54" s="327" t="s">
        <v>174</v>
      </c>
      <c r="H54" s="295">
        <v>0</v>
      </c>
      <c r="I54" s="296">
        <v>0.77</v>
      </c>
      <c r="J54" s="297">
        <v>0.66</v>
      </c>
      <c r="K54" s="297">
        <v>0.54</v>
      </c>
      <c r="L54" s="297">
        <v>0.43</v>
      </c>
      <c r="M54" s="296">
        <v>0.77</v>
      </c>
      <c r="N54" s="297">
        <f>J54*'CRCP &amp; Evolutions'!H$73</f>
        <v>0.67491648812167471</v>
      </c>
      <c r="O54" s="297">
        <f>K54*'CRCP &amp; Evolutions'!I$73</f>
        <v>0.588167553295741</v>
      </c>
      <c r="P54" s="297">
        <f>L54*'CRCP &amp; Evolutions'!J$73</f>
        <v>0.47855774400450229</v>
      </c>
      <c r="Q54" s="298">
        <f t="shared" si="13"/>
        <v>0.77</v>
      </c>
      <c r="R54" s="299">
        <f t="shared" si="14"/>
        <v>0.67</v>
      </c>
      <c r="S54" s="299">
        <f t="shared" si="15"/>
        <v>0.59</v>
      </c>
      <c r="T54" s="300">
        <f t="shared" si="16"/>
        <v>0.48</v>
      </c>
    </row>
    <row r="55" spans="2:20" ht="15.75" customHeight="1" x14ac:dyDescent="0.3">
      <c r="B55" s="454" t="s">
        <v>213</v>
      </c>
      <c r="C55" s="460" t="s">
        <v>166</v>
      </c>
      <c r="D55" s="457"/>
      <c r="E55" s="457"/>
      <c r="F55" s="272" t="s">
        <v>167</v>
      </c>
      <c r="G55" s="326" t="s">
        <v>168</v>
      </c>
      <c r="H55" s="273">
        <v>0</v>
      </c>
      <c r="I55" s="274">
        <v>5.34</v>
      </c>
      <c r="J55" s="286">
        <v>7.39</v>
      </c>
      <c r="K55" s="286">
        <v>9.44</v>
      </c>
      <c r="L55" s="286">
        <v>11.49</v>
      </c>
      <c r="M55" s="274">
        <v>5.34</v>
      </c>
      <c r="N55" s="286">
        <f>J55*'CRCP &amp; Evolutions'!H$73</f>
        <v>7.5570194654835996</v>
      </c>
      <c r="O55" s="286">
        <f>K55*'CRCP &amp; Evolutions'!I$73</f>
        <v>10.282040190947766</v>
      </c>
      <c r="P55" s="286">
        <f>L55*'CRCP &amp; Evolutions'!J$73</f>
        <v>12.787508089794725</v>
      </c>
      <c r="Q55" s="276">
        <f t="shared" si="13"/>
        <v>5.34</v>
      </c>
      <c r="R55" s="277">
        <f t="shared" si="14"/>
        <v>7.56</v>
      </c>
      <c r="S55" s="277">
        <f t="shared" si="15"/>
        <v>10.28</v>
      </c>
      <c r="T55" s="278">
        <f t="shared" si="16"/>
        <v>12.79</v>
      </c>
    </row>
    <row r="56" spans="2:20" x14ac:dyDescent="0.3">
      <c r="B56" s="455"/>
      <c r="C56" s="470"/>
      <c r="D56" s="458"/>
      <c r="E56" s="458"/>
      <c r="F56" s="283" t="s">
        <v>169</v>
      </c>
      <c r="G56" s="256" t="s">
        <v>168</v>
      </c>
      <c r="H56" s="284">
        <v>0</v>
      </c>
      <c r="I56" s="285">
        <v>4.6100000000000003</v>
      </c>
      <c r="J56" s="286">
        <v>6.9</v>
      </c>
      <c r="K56" s="286">
        <v>9.1999999999999993</v>
      </c>
      <c r="L56" s="286">
        <v>11.49</v>
      </c>
      <c r="M56" s="285">
        <v>4.6100000000000003</v>
      </c>
      <c r="N56" s="286">
        <f>J56*'CRCP &amp; Evolutions'!H$73</f>
        <v>7.0559451030902363</v>
      </c>
      <c r="O56" s="286">
        <f>K56*'CRCP &amp; Evolutions'!I$73</f>
        <v>10.020632389482993</v>
      </c>
      <c r="P56" s="286">
        <f>L56*'CRCP &amp; Evolutions'!J$73</f>
        <v>12.787508089794725</v>
      </c>
      <c r="Q56" s="287">
        <f t="shared" si="13"/>
        <v>4.6100000000000003</v>
      </c>
      <c r="R56" s="288">
        <f t="shared" si="14"/>
        <v>7.06</v>
      </c>
      <c r="S56" s="288">
        <f t="shared" si="15"/>
        <v>10.02</v>
      </c>
      <c r="T56" s="289">
        <f t="shared" si="16"/>
        <v>12.79</v>
      </c>
    </row>
    <row r="57" spans="2:20" x14ac:dyDescent="0.3">
      <c r="B57" s="455"/>
      <c r="C57" s="470"/>
      <c r="D57" s="458"/>
      <c r="E57" s="458"/>
      <c r="F57" s="283" t="s">
        <v>170</v>
      </c>
      <c r="G57" s="256" t="s">
        <v>168</v>
      </c>
      <c r="H57" s="284">
        <v>0</v>
      </c>
      <c r="I57" s="285">
        <v>4.4000000000000004</v>
      </c>
      <c r="J57" s="286">
        <v>6.76</v>
      </c>
      <c r="K57" s="286">
        <v>9.1300000000000008</v>
      </c>
      <c r="L57" s="286">
        <v>11.49</v>
      </c>
      <c r="M57" s="285">
        <v>4.4000000000000004</v>
      </c>
      <c r="N57" s="286">
        <f>J57*'CRCP &amp; Evolutions'!H$73</f>
        <v>6.9127809995492742</v>
      </c>
      <c r="O57" s="286">
        <f>K57*'CRCP &amp; Evolutions'!I$73</f>
        <v>9.9443884473891018</v>
      </c>
      <c r="P57" s="286">
        <f>L57*'CRCP &amp; Evolutions'!J$73</f>
        <v>12.787508089794725</v>
      </c>
      <c r="Q57" s="287">
        <f t="shared" si="13"/>
        <v>4.4000000000000004</v>
      </c>
      <c r="R57" s="288">
        <f t="shared" si="14"/>
        <v>6.91</v>
      </c>
      <c r="S57" s="288">
        <f t="shared" si="15"/>
        <v>9.94</v>
      </c>
      <c r="T57" s="289">
        <f t="shared" si="16"/>
        <v>12.79</v>
      </c>
    </row>
    <row r="58" spans="2:20" x14ac:dyDescent="0.3">
      <c r="B58" s="455"/>
      <c r="C58" s="470"/>
      <c r="D58" s="458"/>
      <c r="E58" s="458"/>
      <c r="F58" s="283" t="s">
        <v>171</v>
      </c>
      <c r="G58" s="256" t="s">
        <v>168</v>
      </c>
      <c r="H58" s="284">
        <v>0</v>
      </c>
      <c r="I58" s="285">
        <v>4.26</v>
      </c>
      <c r="J58" s="286">
        <v>6.67</v>
      </c>
      <c r="K58" s="286">
        <v>9.08</v>
      </c>
      <c r="L58" s="286">
        <v>11.49</v>
      </c>
      <c r="M58" s="285">
        <v>4.26</v>
      </c>
      <c r="N58" s="286">
        <f>J58*'CRCP &amp; Evolutions'!H$73</f>
        <v>6.8207469329872277</v>
      </c>
      <c r="O58" s="286">
        <f>K58*'CRCP &amp; Evolutions'!I$73</f>
        <v>9.8899284887506074</v>
      </c>
      <c r="P58" s="286">
        <f>L58*'CRCP &amp; Evolutions'!J$73</f>
        <v>12.787508089794725</v>
      </c>
      <c r="Q58" s="287">
        <f t="shared" si="13"/>
        <v>4.26</v>
      </c>
      <c r="R58" s="288">
        <f t="shared" si="14"/>
        <v>6.82</v>
      </c>
      <c r="S58" s="288">
        <f t="shared" si="15"/>
        <v>9.89</v>
      </c>
      <c r="T58" s="289">
        <f t="shared" si="16"/>
        <v>12.79</v>
      </c>
    </row>
    <row r="59" spans="2:20" ht="16.5" thickBot="1" x14ac:dyDescent="0.35">
      <c r="B59" s="455"/>
      <c r="C59" s="461"/>
      <c r="D59" s="459"/>
      <c r="E59" s="459"/>
      <c r="F59" s="294" t="s">
        <v>172</v>
      </c>
      <c r="G59" s="327" t="s">
        <v>168</v>
      </c>
      <c r="H59" s="295">
        <v>0</v>
      </c>
      <c r="I59" s="296">
        <v>3.6</v>
      </c>
      <c r="J59" s="297">
        <v>6.23</v>
      </c>
      <c r="K59" s="297">
        <v>8.86</v>
      </c>
      <c r="L59" s="297">
        <v>11.49</v>
      </c>
      <c r="M59" s="296">
        <v>3.6</v>
      </c>
      <c r="N59" s="297">
        <f>J59*'CRCP &amp; Evolutions'!H$73</f>
        <v>6.3708026075727782</v>
      </c>
      <c r="O59" s="297">
        <f>K59*'CRCP &amp; Evolutions'!I$73</f>
        <v>9.6503046707412299</v>
      </c>
      <c r="P59" s="297">
        <f>L59*'CRCP &amp; Evolutions'!J$73</f>
        <v>12.787508089794725</v>
      </c>
      <c r="Q59" s="298">
        <f t="shared" si="13"/>
        <v>3.6</v>
      </c>
      <c r="R59" s="299">
        <f t="shared" si="14"/>
        <v>6.37</v>
      </c>
      <c r="S59" s="299">
        <f t="shared" si="15"/>
        <v>9.65</v>
      </c>
      <c r="T59" s="300">
        <f t="shared" si="16"/>
        <v>12.79</v>
      </c>
    </row>
    <row r="60" spans="2:20" ht="15.75" customHeight="1" x14ac:dyDescent="0.3">
      <c r="B60" s="455"/>
      <c r="C60" s="460" t="s">
        <v>173</v>
      </c>
      <c r="D60" s="457"/>
      <c r="E60" s="457"/>
      <c r="F60" s="272" t="s">
        <v>167</v>
      </c>
      <c r="G60" s="326" t="s">
        <v>174</v>
      </c>
      <c r="H60" s="273">
        <v>0</v>
      </c>
      <c r="I60" s="274">
        <v>4.78</v>
      </c>
      <c r="J60" s="286">
        <v>5.37</v>
      </c>
      <c r="K60" s="286">
        <v>5.96</v>
      </c>
      <c r="L60" s="286">
        <v>6.55</v>
      </c>
      <c r="M60" s="274">
        <v>4.78</v>
      </c>
      <c r="N60" s="286">
        <f>J60*'CRCP &amp; Evolutions'!H$73</f>
        <v>5.4913659715354441</v>
      </c>
      <c r="O60" s="286">
        <f>K60*'CRCP &amp; Evolutions'!I$73</f>
        <v>6.4916270697085485</v>
      </c>
      <c r="P60" s="286">
        <f>L60*'CRCP &amp; Evolutions'!J$73</f>
        <v>7.2896586586732326</v>
      </c>
      <c r="Q60" s="276">
        <f t="shared" si="13"/>
        <v>4.78</v>
      </c>
      <c r="R60" s="277">
        <f t="shared" si="14"/>
        <v>5.49</v>
      </c>
      <c r="S60" s="277">
        <f t="shared" si="15"/>
        <v>6.49</v>
      </c>
      <c r="T60" s="278">
        <f t="shared" si="16"/>
        <v>7.29</v>
      </c>
    </row>
    <row r="61" spans="2:20" x14ac:dyDescent="0.3">
      <c r="B61" s="455"/>
      <c r="C61" s="470"/>
      <c r="D61" s="458"/>
      <c r="E61" s="458"/>
      <c r="F61" s="283" t="s">
        <v>169</v>
      </c>
      <c r="G61" s="256" t="s">
        <v>174</v>
      </c>
      <c r="H61" s="284">
        <v>0</v>
      </c>
      <c r="I61" s="285">
        <v>3.07</v>
      </c>
      <c r="J61" s="286">
        <v>3.31</v>
      </c>
      <c r="K61" s="286">
        <v>3.55</v>
      </c>
      <c r="L61" s="286">
        <v>3.79</v>
      </c>
      <c r="M61" s="285">
        <v>3.07</v>
      </c>
      <c r="N61" s="286">
        <f>J61*'CRCP &amp; Evolutions'!H$73</f>
        <v>3.3848084480041565</v>
      </c>
      <c r="O61" s="286">
        <f>K61*'CRCP &amp; Evolutions'!I$73</f>
        <v>3.8666570633331117</v>
      </c>
      <c r="P61" s="286">
        <f>L61*'CRCP &amp; Evolutions'!J$73</f>
        <v>4.2179856971559619</v>
      </c>
      <c r="Q61" s="287">
        <f t="shared" si="13"/>
        <v>3.07</v>
      </c>
      <c r="R61" s="288">
        <f t="shared" si="14"/>
        <v>3.38</v>
      </c>
      <c r="S61" s="288">
        <f t="shared" si="15"/>
        <v>3.87</v>
      </c>
      <c r="T61" s="289">
        <f t="shared" si="16"/>
        <v>4.22</v>
      </c>
    </row>
    <row r="62" spans="2:20" x14ac:dyDescent="0.3">
      <c r="B62" s="455"/>
      <c r="C62" s="470"/>
      <c r="D62" s="458"/>
      <c r="E62" s="458"/>
      <c r="F62" s="283" t="s">
        <v>170</v>
      </c>
      <c r="G62" s="256" t="s">
        <v>174</v>
      </c>
      <c r="H62" s="284">
        <v>0</v>
      </c>
      <c r="I62" s="285">
        <v>2.17</v>
      </c>
      <c r="J62" s="286">
        <v>2.21</v>
      </c>
      <c r="K62" s="286">
        <v>2.25</v>
      </c>
      <c r="L62" s="286">
        <v>2.2999999999999998</v>
      </c>
      <c r="M62" s="285">
        <v>2.17</v>
      </c>
      <c r="N62" s="286">
        <f>J62*'CRCP &amp; Evolutions'!H$73</f>
        <v>2.2599476344680318</v>
      </c>
      <c r="O62" s="286">
        <f>K62*'CRCP &amp; Evolutions'!I$73</f>
        <v>2.4506981387322542</v>
      </c>
      <c r="P62" s="286">
        <f>L62*'CRCP &amp; Evolutions'!J$73</f>
        <v>2.5597274679310584</v>
      </c>
      <c r="Q62" s="287">
        <f t="shared" si="13"/>
        <v>2.17</v>
      </c>
      <c r="R62" s="288">
        <f t="shared" si="14"/>
        <v>2.2599999999999998</v>
      </c>
      <c r="S62" s="288">
        <f t="shared" si="15"/>
        <v>2.4500000000000002</v>
      </c>
      <c r="T62" s="289">
        <f t="shared" si="16"/>
        <v>2.56</v>
      </c>
    </row>
    <row r="63" spans="2:20" x14ac:dyDescent="0.3">
      <c r="B63" s="455"/>
      <c r="C63" s="470"/>
      <c r="D63" s="458"/>
      <c r="E63" s="458"/>
      <c r="F63" s="283" t="s">
        <v>171</v>
      </c>
      <c r="G63" s="256" t="s">
        <v>174</v>
      </c>
      <c r="H63" s="284">
        <v>0</v>
      </c>
      <c r="I63" s="285">
        <v>1.64</v>
      </c>
      <c r="J63" s="286">
        <v>1.32</v>
      </c>
      <c r="K63" s="286">
        <v>0.99</v>
      </c>
      <c r="L63" s="286">
        <v>0.67</v>
      </c>
      <c r="M63" s="285">
        <v>1.64</v>
      </c>
      <c r="N63" s="286">
        <f>J63*'CRCP &amp; Evolutions'!H$73</f>
        <v>1.3498329762433494</v>
      </c>
      <c r="O63" s="286">
        <f>K63*'CRCP &amp; Evolutions'!I$73</f>
        <v>1.0783071810421918</v>
      </c>
      <c r="P63" s="286">
        <f>L63*'CRCP &amp; Evolutions'!J$73</f>
        <v>0.74565974065817808</v>
      </c>
      <c r="Q63" s="287">
        <f t="shared" si="13"/>
        <v>1.64</v>
      </c>
      <c r="R63" s="288">
        <f t="shared" si="14"/>
        <v>1.35</v>
      </c>
      <c r="S63" s="288">
        <f t="shared" si="15"/>
        <v>1.08</v>
      </c>
      <c r="T63" s="289">
        <f t="shared" si="16"/>
        <v>0.75</v>
      </c>
    </row>
    <row r="64" spans="2:20" ht="16.5" thickBot="1" x14ac:dyDescent="0.35">
      <c r="B64" s="456"/>
      <c r="C64" s="461"/>
      <c r="D64" s="459"/>
      <c r="E64" s="459"/>
      <c r="F64" s="294" t="s">
        <v>172</v>
      </c>
      <c r="G64" s="327" t="s">
        <v>174</v>
      </c>
      <c r="H64" s="295">
        <v>0</v>
      </c>
      <c r="I64" s="296">
        <v>1.01</v>
      </c>
      <c r="J64" s="297">
        <v>0.82</v>
      </c>
      <c r="K64" s="297">
        <v>0.64</v>
      </c>
      <c r="L64" s="297">
        <v>0.44</v>
      </c>
      <c r="M64" s="296">
        <v>1.01</v>
      </c>
      <c r="N64" s="297">
        <f>J64*'CRCP &amp; Evolutions'!H$73</f>
        <v>0.8385326064542018</v>
      </c>
      <c r="O64" s="297">
        <f>K64*'CRCP &amp; Evolutions'!I$73</f>
        <v>0.69708747057273002</v>
      </c>
      <c r="P64" s="297">
        <f>L64*'CRCP &amp; Evolutions'!J$73</f>
        <v>0.48968699386507214</v>
      </c>
      <c r="Q64" s="298">
        <f t="shared" si="13"/>
        <v>1.01</v>
      </c>
      <c r="R64" s="299">
        <f t="shared" si="14"/>
        <v>0.84</v>
      </c>
      <c r="S64" s="299">
        <f t="shared" si="15"/>
        <v>0.7</v>
      </c>
      <c r="T64" s="300">
        <f t="shared" si="16"/>
        <v>0.49</v>
      </c>
    </row>
    <row r="65" spans="2:20" ht="15.75" customHeight="1" x14ac:dyDescent="0.3">
      <c r="B65" s="454" t="s">
        <v>214</v>
      </c>
      <c r="C65" s="460" t="s">
        <v>166</v>
      </c>
      <c r="D65" s="457"/>
      <c r="E65" s="457"/>
      <c r="F65" s="272" t="s">
        <v>167</v>
      </c>
      <c r="G65" s="326" t="s">
        <v>168</v>
      </c>
      <c r="H65" s="273">
        <v>0</v>
      </c>
      <c r="I65" s="274">
        <v>21.81</v>
      </c>
      <c r="J65" s="286">
        <v>24.69</v>
      </c>
      <c r="K65" s="286">
        <v>27.58</v>
      </c>
      <c r="L65" s="286">
        <v>30.47</v>
      </c>
      <c r="M65" s="274">
        <v>21.81</v>
      </c>
      <c r="N65" s="286">
        <f>J65*'CRCP &amp; Evolutions'!H$73</f>
        <v>25.248012260188105</v>
      </c>
      <c r="O65" s="286">
        <f>K65*'CRCP &amp; Evolutions'!I$73</f>
        <v>30.040113184993583</v>
      </c>
      <c r="P65" s="286">
        <f>L65*'CRCP &amp; Evolutions'!J$73</f>
        <v>33.910824325156241</v>
      </c>
      <c r="Q65" s="276">
        <f t="shared" si="13"/>
        <v>21.81</v>
      </c>
      <c r="R65" s="277">
        <f t="shared" si="14"/>
        <v>25.25</v>
      </c>
      <c r="S65" s="277">
        <f t="shared" si="15"/>
        <v>30.04</v>
      </c>
      <c r="T65" s="278">
        <f t="shared" si="16"/>
        <v>33.909999999999997</v>
      </c>
    </row>
    <row r="66" spans="2:20" x14ac:dyDescent="0.3">
      <c r="B66" s="455"/>
      <c r="C66" s="470"/>
      <c r="D66" s="458"/>
      <c r="E66" s="458"/>
      <c r="F66" s="283" t="s">
        <v>169</v>
      </c>
      <c r="G66" s="256" t="s">
        <v>168</v>
      </c>
      <c r="H66" s="284">
        <v>0</v>
      </c>
      <c r="I66" s="285">
        <v>19.93</v>
      </c>
      <c r="J66" s="286">
        <v>22.27</v>
      </c>
      <c r="K66" s="286">
        <v>24.61</v>
      </c>
      <c r="L66" s="286">
        <v>26.96</v>
      </c>
      <c r="M66" s="285">
        <v>19.93</v>
      </c>
      <c r="N66" s="286">
        <f>J66*'CRCP &amp; Evolutions'!H$73</f>
        <v>22.773318470408629</v>
      </c>
      <c r="O66" s="286">
        <f>K66*'CRCP &amp; Evolutions'!I$73</f>
        <v>26.805191641867008</v>
      </c>
      <c r="P66" s="286">
        <f>L66*'CRCP &amp; Evolutions'!J$73</f>
        <v>30.004457624096236</v>
      </c>
      <c r="Q66" s="287">
        <f t="shared" si="13"/>
        <v>19.93</v>
      </c>
      <c r="R66" s="288">
        <f t="shared" si="14"/>
        <v>22.77</v>
      </c>
      <c r="S66" s="288">
        <f t="shared" si="15"/>
        <v>26.81</v>
      </c>
      <c r="T66" s="289">
        <f t="shared" si="16"/>
        <v>30</v>
      </c>
    </row>
    <row r="67" spans="2:20" x14ac:dyDescent="0.3">
      <c r="B67" s="455"/>
      <c r="C67" s="470"/>
      <c r="D67" s="458"/>
      <c r="E67" s="458"/>
      <c r="F67" s="283" t="s">
        <v>170</v>
      </c>
      <c r="G67" s="256" t="s">
        <v>168</v>
      </c>
      <c r="H67" s="284">
        <v>0</v>
      </c>
      <c r="I67" s="285">
        <v>13.85</v>
      </c>
      <c r="J67" s="286">
        <v>14.28</v>
      </c>
      <c r="K67" s="286">
        <v>14.7</v>
      </c>
      <c r="L67" s="286">
        <v>15.14</v>
      </c>
      <c r="M67" s="285">
        <v>13.85</v>
      </c>
      <c r="N67" s="286">
        <f>J67*'CRCP &amp; Evolutions'!H$73</f>
        <v>14.602738561178052</v>
      </c>
      <c r="O67" s="286">
        <f>K67*'CRCP &amp; Evolutions'!I$73</f>
        <v>16.011227839717392</v>
      </c>
      <c r="P67" s="286">
        <f>L67*'CRCP &amp; Evolutions'!J$73</f>
        <v>16.849684288902708</v>
      </c>
      <c r="Q67" s="287">
        <f t="shared" si="13"/>
        <v>13.85</v>
      </c>
      <c r="R67" s="288">
        <f t="shared" si="14"/>
        <v>14.6</v>
      </c>
      <c r="S67" s="288">
        <f t="shared" si="15"/>
        <v>16.010000000000002</v>
      </c>
      <c r="T67" s="289">
        <f t="shared" si="16"/>
        <v>16.850000000000001</v>
      </c>
    </row>
    <row r="68" spans="2:20" x14ac:dyDescent="0.3">
      <c r="B68" s="455"/>
      <c r="C68" s="470"/>
      <c r="D68" s="458"/>
      <c r="E68" s="458"/>
      <c r="F68" s="283" t="s">
        <v>171</v>
      </c>
      <c r="G68" s="256" t="s">
        <v>168</v>
      </c>
      <c r="H68" s="284">
        <v>0</v>
      </c>
      <c r="I68" s="285">
        <v>9.7100000000000009</v>
      </c>
      <c r="J68" s="286">
        <v>10.59</v>
      </c>
      <c r="K68" s="286">
        <v>11.47</v>
      </c>
      <c r="L68" s="286">
        <v>12.35</v>
      </c>
      <c r="M68" s="285">
        <v>9.7100000000000009</v>
      </c>
      <c r="N68" s="286">
        <f>J68*'CRCP &amp; Evolutions'!H$73</f>
        <v>10.829341832134144</v>
      </c>
      <c r="O68" s="286">
        <f>K68*'CRCP &amp; Evolutions'!I$73</f>
        <v>12.493114511670646</v>
      </c>
      <c r="P68" s="286">
        <f>L68*'CRCP &amp; Evolutions'!J$73</f>
        <v>13.744623577803729</v>
      </c>
      <c r="Q68" s="287">
        <f t="shared" si="13"/>
        <v>9.7100000000000009</v>
      </c>
      <c r="R68" s="288">
        <f t="shared" si="14"/>
        <v>10.83</v>
      </c>
      <c r="S68" s="288">
        <f t="shared" si="15"/>
        <v>12.49</v>
      </c>
      <c r="T68" s="289">
        <f t="shared" si="16"/>
        <v>13.74</v>
      </c>
    </row>
    <row r="69" spans="2:20" ht="16.5" thickBot="1" x14ac:dyDescent="0.35">
      <c r="B69" s="455"/>
      <c r="C69" s="461"/>
      <c r="D69" s="459"/>
      <c r="E69" s="459"/>
      <c r="F69" s="294" t="s">
        <v>172</v>
      </c>
      <c r="G69" s="327" t="s">
        <v>168</v>
      </c>
      <c r="H69" s="295">
        <v>0</v>
      </c>
      <c r="I69" s="296">
        <v>4.1500000000000004</v>
      </c>
      <c r="J69" s="297">
        <v>6.61</v>
      </c>
      <c r="K69" s="297">
        <v>9.08</v>
      </c>
      <c r="L69" s="297">
        <v>11.54</v>
      </c>
      <c r="M69" s="296">
        <v>4.1500000000000004</v>
      </c>
      <c r="N69" s="297">
        <f>J69*'CRCP &amp; Evolutions'!H$73</f>
        <v>6.75939088861253</v>
      </c>
      <c r="O69" s="297">
        <f>K69*'CRCP &amp; Evolutions'!I$73</f>
        <v>9.8899284887506074</v>
      </c>
      <c r="P69" s="297">
        <f>L69*'CRCP &amp; Evolutions'!J$73</f>
        <v>12.843154339097572</v>
      </c>
      <c r="Q69" s="298">
        <f t="shared" si="13"/>
        <v>4.1500000000000004</v>
      </c>
      <c r="R69" s="299">
        <f t="shared" si="14"/>
        <v>6.76</v>
      </c>
      <c r="S69" s="299">
        <f t="shared" si="15"/>
        <v>9.89</v>
      </c>
      <c r="T69" s="300">
        <f t="shared" si="16"/>
        <v>12.84</v>
      </c>
    </row>
    <row r="70" spans="2:20" ht="15.75" customHeight="1" x14ac:dyDescent="0.3">
      <c r="B70" s="455"/>
      <c r="C70" s="460" t="s">
        <v>173</v>
      </c>
      <c r="D70" s="457"/>
      <c r="E70" s="457"/>
      <c r="F70" s="272" t="s">
        <v>167</v>
      </c>
      <c r="G70" s="326" t="s">
        <v>174</v>
      </c>
      <c r="H70" s="273">
        <v>0</v>
      </c>
      <c r="I70" s="274">
        <v>3.21</v>
      </c>
      <c r="J70" s="286">
        <v>3.14</v>
      </c>
      <c r="K70" s="286">
        <v>3.06</v>
      </c>
      <c r="L70" s="286">
        <v>2.98</v>
      </c>
      <c r="M70" s="274">
        <v>3.21</v>
      </c>
      <c r="N70" s="286">
        <f>J70*'CRCP &amp; Evolutions'!H$73</f>
        <v>3.2109663222758464</v>
      </c>
      <c r="O70" s="286">
        <f>K70*'CRCP &amp; Evolutions'!I$73</f>
        <v>3.3329494686758654</v>
      </c>
      <c r="P70" s="286">
        <f>L70*'CRCP &amp; Evolutions'!J$73</f>
        <v>3.3165164584498066</v>
      </c>
      <c r="Q70" s="276">
        <f t="shared" si="13"/>
        <v>3.21</v>
      </c>
      <c r="R70" s="277">
        <f t="shared" si="14"/>
        <v>3.21</v>
      </c>
      <c r="S70" s="277">
        <f t="shared" si="15"/>
        <v>3.33</v>
      </c>
      <c r="T70" s="278">
        <f t="shared" si="16"/>
        <v>3.32</v>
      </c>
    </row>
    <row r="71" spans="2:20" x14ac:dyDescent="0.3">
      <c r="B71" s="455"/>
      <c r="C71" s="470"/>
      <c r="D71" s="458"/>
      <c r="E71" s="458"/>
      <c r="F71" s="283" t="s">
        <v>169</v>
      </c>
      <c r="G71" s="256" t="s">
        <v>174</v>
      </c>
      <c r="H71" s="284">
        <v>0</v>
      </c>
      <c r="I71" s="285">
        <v>1.93</v>
      </c>
      <c r="J71" s="286">
        <v>1.88</v>
      </c>
      <c r="K71" s="286">
        <v>1.83</v>
      </c>
      <c r="L71" s="286">
        <v>1.78</v>
      </c>
      <c r="M71" s="285">
        <v>1.93</v>
      </c>
      <c r="N71" s="286">
        <f>J71*'CRCP &amp; Evolutions'!H$73</f>
        <v>1.9224893904071945</v>
      </c>
      <c r="O71" s="286">
        <f>K71*'CRCP &amp; Evolutions'!I$73</f>
        <v>1.9932344861689</v>
      </c>
      <c r="P71" s="286">
        <f>L71*'CRCP &amp; Evolutions'!J$73</f>
        <v>1.9810064751814283</v>
      </c>
      <c r="Q71" s="287">
        <f t="shared" si="13"/>
        <v>1.93</v>
      </c>
      <c r="R71" s="288">
        <f t="shared" si="14"/>
        <v>1.92</v>
      </c>
      <c r="S71" s="288">
        <f t="shared" si="15"/>
        <v>1.99</v>
      </c>
      <c r="T71" s="289">
        <f t="shared" si="16"/>
        <v>1.98</v>
      </c>
    </row>
    <row r="72" spans="2:20" x14ac:dyDescent="0.3">
      <c r="B72" s="455"/>
      <c r="C72" s="470"/>
      <c r="D72" s="458"/>
      <c r="E72" s="458"/>
      <c r="F72" s="283" t="s">
        <v>170</v>
      </c>
      <c r="G72" s="256" t="s">
        <v>174</v>
      </c>
      <c r="H72" s="284">
        <v>0</v>
      </c>
      <c r="I72" s="285">
        <v>1.38</v>
      </c>
      <c r="J72" s="286">
        <v>1.42</v>
      </c>
      <c r="K72" s="286">
        <v>1.45</v>
      </c>
      <c r="L72" s="286">
        <v>1.49</v>
      </c>
      <c r="M72" s="285">
        <v>1.38</v>
      </c>
      <c r="N72" s="286">
        <f>J72*'CRCP &amp; Evolutions'!H$73</f>
        <v>1.4520930502011788</v>
      </c>
      <c r="O72" s="286">
        <f>K72*'CRCP &amp; Evolutions'!I$73</f>
        <v>1.5793388005163413</v>
      </c>
      <c r="P72" s="286">
        <f>L72*'CRCP &amp; Evolutions'!J$73</f>
        <v>1.6582582292249033</v>
      </c>
      <c r="Q72" s="287">
        <f t="shared" si="13"/>
        <v>1.38</v>
      </c>
      <c r="R72" s="288">
        <f t="shared" si="14"/>
        <v>1.45</v>
      </c>
      <c r="S72" s="288">
        <f t="shared" si="15"/>
        <v>1.58</v>
      </c>
      <c r="T72" s="289">
        <f t="shared" si="16"/>
        <v>1.66</v>
      </c>
    </row>
    <row r="73" spans="2:20" x14ac:dyDescent="0.3">
      <c r="B73" s="455"/>
      <c r="C73" s="470"/>
      <c r="D73" s="458"/>
      <c r="E73" s="458"/>
      <c r="F73" s="283" t="s">
        <v>171</v>
      </c>
      <c r="G73" s="256" t="s">
        <v>174</v>
      </c>
      <c r="H73" s="284">
        <v>0</v>
      </c>
      <c r="I73" s="285">
        <v>0.89</v>
      </c>
      <c r="J73" s="286">
        <v>0.78</v>
      </c>
      <c r="K73" s="286">
        <v>0.68</v>
      </c>
      <c r="L73" s="286">
        <v>0.56999999999999995</v>
      </c>
      <c r="M73" s="285">
        <v>0.89</v>
      </c>
      <c r="N73" s="286">
        <f>J73*'CRCP &amp; Evolutions'!H$73</f>
        <v>0.79762857687107014</v>
      </c>
      <c r="O73" s="286">
        <f>K73*'CRCP &amp; Evolutions'!I$73</f>
        <v>0.74065543748352569</v>
      </c>
      <c r="P73" s="286">
        <f>L73*'CRCP &amp; Evolutions'!J$73</f>
        <v>0.63436724205247974</v>
      </c>
      <c r="Q73" s="287">
        <f t="shared" si="13"/>
        <v>0.89</v>
      </c>
      <c r="R73" s="288">
        <f t="shared" si="14"/>
        <v>0.8</v>
      </c>
      <c r="S73" s="288">
        <f t="shared" si="15"/>
        <v>0.74</v>
      </c>
      <c r="T73" s="289">
        <f t="shared" si="16"/>
        <v>0.63</v>
      </c>
    </row>
    <row r="74" spans="2:20" ht="16.5" thickBot="1" x14ac:dyDescent="0.35">
      <c r="B74" s="456"/>
      <c r="C74" s="461"/>
      <c r="D74" s="459"/>
      <c r="E74" s="459"/>
      <c r="F74" s="294" t="s">
        <v>172</v>
      </c>
      <c r="G74" s="327" t="s">
        <v>174</v>
      </c>
      <c r="H74" s="295">
        <v>0</v>
      </c>
      <c r="I74" s="296">
        <v>0.77</v>
      </c>
      <c r="J74" s="297">
        <v>0.66</v>
      </c>
      <c r="K74" s="297">
        <v>0.54</v>
      </c>
      <c r="L74" s="297">
        <v>0.43</v>
      </c>
      <c r="M74" s="296">
        <v>0.77</v>
      </c>
      <c r="N74" s="297">
        <f>J74*'CRCP &amp; Evolutions'!H$73</f>
        <v>0.67491648812167471</v>
      </c>
      <c r="O74" s="297">
        <f>K74*'CRCP &amp; Evolutions'!I$73</f>
        <v>0.588167553295741</v>
      </c>
      <c r="P74" s="297">
        <f>L74*'CRCP &amp; Evolutions'!J$73</f>
        <v>0.47855774400450229</v>
      </c>
      <c r="Q74" s="298">
        <f t="shared" si="13"/>
        <v>0.77</v>
      </c>
      <c r="R74" s="299">
        <f t="shared" si="14"/>
        <v>0.67</v>
      </c>
      <c r="S74" s="299">
        <f t="shared" si="15"/>
        <v>0.59</v>
      </c>
      <c r="T74" s="300">
        <f t="shared" si="16"/>
        <v>0.48</v>
      </c>
    </row>
    <row r="75" spans="2:20" ht="15.75" customHeight="1" x14ac:dyDescent="0.3">
      <c r="B75" s="454" t="s">
        <v>215</v>
      </c>
      <c r="C75" s="460" t="s">
        <v>175</v>
      </c>
      <c r="D75" s="457"/>
      <c r="E75" s="457"/>
      <c r="F75" s="272" t="s">
        <v>169</v>
      </c>
      <c r="G75" s="326" t="s">
        <v>176</v>
      </c>
      <c r="H75" s="273">
        <v>0</v>
      </c>
      <c r="I75" s="274">
        <v>11.61</v>
      </c>
      <c r="J75" s="286">
        <v>12.54</v>
      </c>
      <c r="K75" s="286">
        <v>13.47</v>
      </c>
      <c r="L75" s="286">
        <v>14.4</v>
      </c>
      <c r="M75" s="274">
        <v>11.61</v>
      </c>
      <c r="N75" s="286">
        <f>J75*'CRCP &amp; Evolutions'!H$73</f>
        <v>12.823413274311818</v>
      </c>
      <c r="O75" s="286">
        <f>K75*'CRCP &amp; Evolutions'!I$73</f>
        <v>14.671512857210427</v>
      </c>
      <c r="P75" s="286">
        <f>L75*'CRCP &amp; Evolutions'!J$73</f>
        <v>16.026119799220542</v>
      </c>
      <c r="Q75" s="276">
        <f t="shared" si="13"/>
        <v>11.61</v>
      </c>
      <c r="R75" s="277">
        <f t="shared" si="14"/>
        <v>12.82</v>
      </c>
      <c r="S75" s="277">
        <f t="shared" si="15"/>
        <v>14.67</v>
      </c>
      <c r="T75" s="278">
        <f t="shared" si="16"/>
        <v>16.03</v>
      </c>
    </row>
    <row r="76" spans="2:20" x14ac:dyDescent="0.3">
      <c r="B76" s="455"/>
      <c r="C76" s="470"/>
      <c r="D76" s="458"/>
      <c r="E76" s="458"/>
      <c r="F76" s="283" t="s">
        <v>170</v>
      </c>
      <c r="G76" s="256" t="s">
        <v>176</v>
      </c>
      <c r="H76" s="284">
        <v>0</v>
      </c>
      <c r="I76" s="285">
        <v>7.11</v>
      </c>
      <c r="J76" s="286">
        <v>8.74</v>
      </c>
      <c r="K76" s="286">
        <v>10.37</v>
      </c>
      <c r="L76" s="286">
        <v>12</v>
      </c>
      <c r="M76" s="285">
        <v>7.11</v>
      </c>
      <c r="N76" s="286">
        <f>J76*'CRCP &amp; Evolutions'!H$73</f>
        <v>8.9375304639142978</v>
      </c>
      <c r="O76" s="286">
        <f>K76*'CRCP &amp; Evolutions'!I$73</f>
        <v>11.294995421623765</v>
      </c>
      <c r="P76" s="286">
        <f>L76*'CRCP &amp; Evolutions'!J$73</f>
        <v>13.355099832683784</v>
      </c>
      <c r="Q76" s="287">
        <f t="shared" si="13"/>
        <v>7.11</v>
      </c>
      <c r="R76" s="288">
        <f t="shared" si="14"/>
        <v>8.94</v>
      </c>
      <c r="S76" s="288">
        <f t="shared" si="15"/>
        <v>11.29</v>
      </c>
      <c r="T76" s="289">
        <f t="shared" si="16"/>
        <v>13.36</v>
      </c>
    </row>
    <row r="77" spans="2:20" x14ac:dyDescent="0.3">
      <c r="B77" s="455"/>
      <c r="C77" s="470"/>
      <c r="D77" s="458"/>
      <c r="E77" s="458"/>
      <c r="F77" s="283" t="s">
        <v>171</v>
      </c>
      <c r="G77" s="256" t="s">
        <v>176</v>
      </c>
      <c r="H77" s="284">
        <v>0</v>
      </c>
      <c r="I77" s="285">
        <v>5.9</v>
      </c>
      <c r="J77" s="286">
        <v>7.81</v>
      </c>
      <c r="K77" s="286">
        <v>9.7200000000000006</v>
      </c>
      <c r="L77" s="286">
        <v>11.63</v>
      </c>
      <c r="M77" s="285">
        <v>5.9</v>
      </c>
      <c r="N77" s="286">
        <f>J77*'CRCP &amp; Evolutions'!H$73</f>
        <v>7.9865117761064832</v>
      </c>
      <c r="O77" s="286">
        <f>K77*'CRCP &amp; Evolutions'!I$73</f>
        <v>10.587015959323338</v>
      </c>
      <c r="P77" s="286">
        <f>L77*'CRCP &amp; Evolutions'!J$73</f>
        <v>12.943317587842703</v>
      </c>
      <c r="Q77" s="287">
        <f t="shared" si="13"/>
        <v>5.9</v>
      </c>
      <c r="R77" s="288">
        <f t="shared" si="14"/>
        <v>7.99</v>
      </c>
      <c r="S77" s="288">
        <f t="shared" si="15"/>
        <v>10.59</v>
      </c>
      <c r="T77" s="289">
        <f t="shared" si="16"/>
        <v>12.94</v>
      </c>
    </row>
    <row r="78" spans="2:20" ht="16.5" thickBot="1" x14ac:dyDescent="0.35">
      <c r="B78" s="455"/>
      <c r="C78" s="461"/>
      <c r="D78" s="459"/>
      <c r="E78" s="459"/>
      <c r="F78" s="294" t="s">
        <v>172</v>
      </c>
      <c r="G78" s="327" t="s">
        <v>176</v>
      </c>
      <c r="H78" s="295">
        <v>0</v>
      </c>
      <c r="I78" s="296">
        <v>3.74</v>
      </c>
      <c r="J78" s="297">
        <v>6.26</v>
      </c>
      <c r="K78" s="297">
        <v>8.7899999999999991</v>
      </c>
      <c r="L78" s="297">
        <v>11.32</v>
      </c>
      <c r="M78" s="296">
        <v>3.74</v>
      </c>
      <c r="N78" s="297">
        <f>J78*'CRCP &amp; Evolutions'!H$73</f>
        <v>6.4014806297601261</v>
      </c>
      <c r="O78" s="297">
        <f>K78*'CRCP &amp; Evolutions'!I$73</f>
        <v>9.5740607286473374</v>
      </c>
      <c r="P78" s="297">
        <f>L78*'CRCP &amp; Evolutions'!J$73</f>
        <v>12.598310842165038</v>
      </c>
      <c r="Q78" s="298">
        <f t="shared" si="13"/>
        <v>3.74</v>
      </c>
      <c r="R78" s="299">
        <f t="shared" si="14"/>
        <v>6.4</v>
      </c>
      <c r="S78" s="299">
        <f t="shared" si="15"/>
        <v>9.57</v>
      </c>
      <c r="T78" s="300">
        <f t="shared" si="16"/>
        <v>12.6</v>
      </c>
    </row>
    <row r="79" spans="2:20" ht="15.75" customHeight="1" x14ac:dyDescent="0.3">
      <c r="B79" s="455"/>
      <c r="C79" s="458" t="s">
        <v>173</v>
      </c>
      <c r="D79" s="458"/>
      <c r="E79" s="458"/>
      <c r="F79" s="283" t="s">
        <v>169</v>
      </c>
      <c r="G79" s="256" t="s">
        <v>174</v>
      </c>
      <c r="H79" s="284">
        <v>0</v>
      </c>
      <c r="I79" s="285">
        <v>5.15</v>
      </c>
      <c r="J79" s="286">
        <v>5.16</v>
      </c>
      <c r="K79" s="286">
        <v>5.17</v>
      </c>
      <c r="L79" s="286">
        <v>5.18</v>
      </c>
      <c r="M79" s="285">
        <v>5.15</v>
      </c>
      <c r="N79" s="286">
        <f>J79*'CRCP &amp; Evolutions'!H$73</f>
        <v>5.2766198162240023</v>
      </c>
      <c r="O79" s="286">
        <f>K79*'CRCP &amp; Evolutions'!I$73</f>
        <v>5.6311597232203345</v>
      </c>
      <c r="P79" s="286">
        <f>L79*'CRCP &amp; Evolutions'!J$73</f>
        <v>5.7649514277751672</v>
      </c>
      <c r="Q79" s="287">
        <f t="shared" si="13"/>
        <v>5.15</v>
      </c>
      <c r="R79" s="277">
        <f t="shared" si="14"/>
        <v>5.28</v>
      </c>
      <c r="S79" s="277">
        <f t="shared" si="15"/>
        <v>5.63</v>
      </c>
      <c r="T79" s="278">
        <f t="shared" si="16"/>
        <v>5.76</v>
      </c>
    </row>
    <row r="80" spans="2:20" ht="15.75" customHeight="1" x14ac:dyDescent="0.3">
      <c r="B80" s="455"/>
      <c r="C80" s="458"/>
      <c r="D80" s="458"/>
      <c r="E80" s="458"/>
      <c r="F80" s="283" t="s">
        <v>170</v>
      </c>
      <c r="G80" s="256" t="s">
        <v>174</v>
      </c>
      <c r="H80" s="284">
        <v>0</v>
      </c>
      <c r="I80" s="285">
        <v>3.36</v>
      </c>
      <c r="J80" s="286">
        <v>3.56</v>
      </c>
      <c r="K80" s="286">
        <v>3.77</v>
      </c>
      <c r="L80" s="286">
        <v>3.97</v>
      </c>
      <c r="M80" s="285">
        <v>3.36</v>
      </c>
      <c r="N80" s="286">
        <f>J80*'CRCP &amp; Evolutions'!H$73</f>
        <v>3.6404586328987301</v>
      </c>
      <c r="O80" s="286">
        <f>K80*'CRCP &amp; Evolutions'!I$73</f>
        <v>4.1062808813424878</v>
      </c>
      <c r="P80" s="286">
        <f>L80*'CRCP &amp; Evolutions'!J$73</f>
        <v>4.4183121946462194</v>
      </c>
      <c r="Q80" s="287">
        <f t="shared" si="13"/>
        <v>3.36</v>
      </c>
      <c r="R80" s="288">
        <f t="shared" si="14"/>
        <v>3.64</v>
      </c>
      <c r="S80" s="288">
        <f t="shared" si="15"/>
        <v>4.1100000000000003</v>
      </c>
      <c r="T80" s="289">
        <f t="shared" si="16"/>
        <v>4.42</v>
      </c>
    </row>
    <row r="81" spans="2:20" x14ac:dyDescent="0.3">
      <c r="B81" s="455"/>
      <c r="C81" s="458"/>
      <c r="D81" s="458"/>
      <c r="E81" s="458"/>
      <c r="F81" s="283" t="s">
        <v>171</v>
      </c>
      <c r="G81" s="256" t="s">
        <v>174</v>
      </c>
      <c r="H81" s="284">
        <v>0</v>
      </c>
      <c r="I81" s="285">
        <v>2.2799999999999998</v>
      </c>
      <c r="J81" s="286">
        <v>2.23</v>
      </c>
      <c r="K81" s="286">
        <v>2.1800000000000002</v>
      </c>
      <c r="L81" s="286">
        <v>2.13</v>
      </c>
      <c r="M81" s="285">
        <v>2.2799999999999998</v>
      </c>
      <c r="N81" s="286">
        <f>J81*'CRCP &amp; Evolutions'!H$73</f>
        <v>2.2803996492595977</v>
      </c>
      <c r="O81" s="286">
        <f>K81*'CRCP &amp; Evolutions'!I$73</f>
        <v>2.3744541966383617</v>
      </c>
      <c r="P81" s="286">
        <f>L81*'CRCP &amp; Evolutions'!J$73</f>
        <v>2.3705302203013718</v>
      </c>
      <c r="Q81" s="287">
        <f t="shared" si="13"/>
        <v>2.2799999999999998</v>
      </c>
      <c r="R81" s="288">
        <f t="shared" si="14"/>
        <v>2.2799999999999998</v>
      </c>
      <c r="S81" s="288">
        <f t="shared" si="15"/>
        <v>2.37</v>
      </c>
      <c r="T81" s="289">
        <f t="shared" si="16"/>
        <v>2.37</v>
      </c>
    </row>
    <row r="82" spans="2:20" ht="16.5" thickBot="1" x14ac:dyDescent="0.35">
      <c r="B82" s="456"/>
      <c r="C82" s="459"/>
      <c r="D82" s="459"/>
      <c r="E82" s="459"/>
      <c r="F82" s="294" t="s">
        <v>172</v>
      </c>
      <c r="G82" s="327" t="s">
        <v>174</v>
      </c>
      <c r="H82" s="295">
        <v>0</v>
      </c>
      <c r="I82" s="296">
        <v>1.8</v>
      </c>
      <c r="J82" s="297">
        <v>1.69</v>
      </c>
      <c r="K82" s="297">
        <v>1.58</v>
      </c>
      <c r="L82" s="297">
        <v>1.47</v>
      </c>
      <c r="M82" s="296">
        <v>1.8</v>
      </c>
      <c r="N82" s="297">
        <f>J82*'CRCP &amp; Evolutions'!H$73</f>
        <v>1.7281952498873185</v>
      </c>
      <c r="O82" s="297">
        <f>K82*'CRCP &amp; Evolutions'!I$73</f>
        <v>1.7209346929764273</v>
      </c>
      <c r="P82" s="297">
        <f>L82*'CRCP &amp; Evolutions'!J$73</f>
        <v>1.6359997295037636</v>
      </c>
      <c r="Q82" s="298">
        <f t="shared" si="13"/>
        <v>1.8</v>
      </c>
      <c r="R82" s="299">
        <f t="shared" si="14"/>
        <v>1.73</v>
      </c>
      <c r="S82" s="299">
        <f t="shared" si="15"/>
        <v>1.72</v>
      </c>
      <c r="T82" s="300">
        <f t="shared" si="16"/>
        <v>1.64</v>
      </c>
    </row>
    <row r="83" spans="2:20" ht="15" customHeight="1" x14ac:dyDescent="0.3">
      <c r="B83" s="454" t="s">
        <v>216</v>
      </c>
      <c r="C83" s="457" t="s">
        <v>175</v>
      </c>
      <c r="D83" s="457"/>
      <c r="E83" s="457"/>
      <c r="F83" s="272" t="s">
        <v>169</v>
      </c>
      <c r="G83" s="326" t="s">
        <v>176</v>
      </c>
      <c r="H83" s="273">
        <v>0</v>
      </c>
      <c r="I83" s="274">
        <v>20.57</v>
      </c>
      <c r="J83" s="286">
        <v>21.55</v>
      </c>
      <c r="K83" s="286">
        <v>22.54</v>
      </c>
      <c r="L83" s="286">
        <v>23.52</v>
      </c>
      <c r="M83" s="274">
        <v>20.57</v>
      </c>
      <c r="N83" s="286">
        <f>J83*'CRCP &amp; Evolutions'!H$73</f>
        <v>22.037045937912257</v>
      </c>
      <c r="O83" s="286">
        <f>K83*'CRCP &amp; Evolutions'!I$73</f>
        <v>24.550549354233333</v>
      </c>
      <c r="P83" s="286">
        <f>L83*'CRCP &amp; Evolutions'!J$73</f>
        <v>26.175995672060218</v>
      </c>
      <c r="Q83" s="276">
        <f t="shared" si="13"/>
        <v>20.57</v>
      </c>
      <c r="R83" s="277">
        <f t="shared" si="14"/>
        <v>22.04</v>
      </c>
      <c r="S83" s="277">
        <f t="shared" si="15"/>
        <v>24.55</v>
      </c>
      <c r="T83" s="278">
        <f t="shared" si="16"/>
        <v>26.18</v>
      </c>
    </row>
    <row r="84" spans="2:20" ht="15" customHeight="1" x14ac:dyDescent="0.3">
      <c r="B84" s="455"/>
      <c r="C84" s="458"/>
      <c r="D84" s="458"/>
      <c r="E84" s="458"/>
      <c r="F84" s="283" t="s">
        <v>170</v>
      </c>
      <c r="G84" s="256" t="s">
        <v>176</v>
      </c>
      <c r="H84" s="284">
        <v>0</v>
      </c>
      <c r="I84" s="285">
        <v>12.51</v>
      </c>
      <c r="J84" s="286">
        <v>13.35</v>
      </c>
      <c r="K84" s="286">
        <v>14.19</v>
      </c>
      <c r="L84" s="286">
        <v>15.03</v>
      </c>
      <c r="M84" s="285">
        <v>12.51</v>
      </c>
      <c r="N84" s="286">
        <f>J84*'CRCP &amp; Evolutions'!H$73</f>
        <v>13.651719873370238</v>
      </c>
      <c r="O84" s="286">
        <f>K84*'CRCP &amp; Evolutions'!I$73</f>
        <v>15.455736261604748</v>
      </c>
      <c r="P84" s="286">
        <f>L84*'CRCP &amp; Evolutions'!J$73</f>
        <v>16.727262540436438</v>
      </c>
      <c r="Q84" s="287">
        <f t="shared" si="13"/>
        <v>12.51</v>
      </c>
      <c r="R84" s="288">
        <f t="shared" si="14"/>
        <v>13.65</v>
      </c>
      <c r="S84" s="288">
        <f t="shared" si="15"/>
        <v>15.46</v>
      </c>
      <c r="T84" s="289">
        <f t="shared" si="16"/>
        <v>16.73</v>
      </c>
    </row>
    <row r="85" spans="2:20" x14ac:dyDescent="0.3">
      <c r="B85" s="455"/>
      <c r="C85" s="458"/>
      <c r="D85" s="458"/>
      <c r="E85" s="458"/>
      <c r="F85" s="283" t="s">
        <v>171</v>
      </c>
      <c r="G85" s="256" t="s">
        <v>176</v>
      </c>
      <c r="H85" s="284">
        <v>0</v>
      </c>
      <c r="I85" s="285">
        <v>10.48</v>
      </c>
      <c r="J85" s="286">
        <v>11.41</v>
      </c>
      <c r="K85" s="286">
        <v>12.34</v>
      </c>
      <c r="L85" s="286">
        <v>13.26</v>
      </c>
      <c r="M85" s="285">
        <v>10.48</v>
      </c>
      <c r="N85" s="286">
        <f>J85*'CRCP &amp; Evolutions'!H$73</f>
        <v>11.667874438588345</v>
      </c>
      <c r="O85" s="286">
        <f>K85*'CRCP &amp; Evolutions'!I$73</f>
        <v>13.44071779198045</v>
      </c>
      <c r="P85" s="286">
        <f>L85*'CRCP &amp; Evolutions'!J$73</f>
        <v>14.757385315115583</v>
      </c>
      <c r="Q85" s="287">
        <f t="shared" si="13"/>
        <v>10.48</v>
      </c>
      <c r="R85" s="288">
        <f t="shared" si="14"/>
        <v>11.67</v>
      </c>
      <c r="S85" s="288">
        <f t="shared" si="15"/>
        <v>13.44</v>
      </c>
      <c r="T85" s="289">
        <f t="shared" si="16"/>
        <v>14.76</v>
      </c>
    </row>
    <row r="86" spans="2:20" ht="16.5" thickBot="1" x14ac:dyDescent="0.35">
      <c r="B86" s="455"/>
      <c r="C86" s="459"/>
      <c r="D86" s="459"/>
      <c r="E86" s="459"/>
      <c r="F86" s="294" t="s">
        <v>172</v>
      </c>
      <c r="G86" s="327" t="s">
        <v>176</v>
      </c>
      <c r="H86" s="295">
        <v>0</v>
      </c>
      <c r="I86" s="296">
        <v>5.95</v>
      </c>
      <c r="J86" s="297">
        <v>7.94</v>
      </c>
      <c r="K86" s="297">
        <v>9.93</v>
      </c>
      <c r="L86" s="297">
        <v>11.91</v>
      </c>
      <c r="M86" s="296">
        <v>5.95</v>
      </c>
      <c r="N86" s="297">
        <f>J86*'CRCP &amp; Evolutions'!H$73</f>
        <v>8.1194498722516624</v>
      </c>
      <c r="O86" s="297">
        <f>K86*'CRCP &amp; Evolutions'!I$73</f>
        <v>10.815747785605014</v>
      </c>
      <c r="P86" s="297">
        <f>L86*'CRCP &amp; Evolutions'!J$73</f>
        <v>13.254936583938656</v>
      </c>
      <c r="Q86" s="298">
        <f t="shared" si="13"/>
        <v>5.95</v>
      </c>
      <c r="R86" s="299">
        <f t="shared" si="14"/>
        <v>8.1199999999999992</v>
      </c>
      <c r="S86" s="299">
        <f t="shared" si="15"/>
        <v>10.82</v>
      </c>
      <c r="T86" s="300">
        <f t="shared" si="16"/>
        <v>13.25</v>
      </c>
    </row>
    <row r="87" spans="2:20" ht="15.75" customHeight="1" x14ac:dyDescent="0.3">
      <c r="B87" s="455"/>
      <c r="C87" s="458" t="s">
        <v>173</v>
      </c>
      <c r="D87" s="458"/>
      <c r="E87" s="458"/>
      <c r="F87" s="283" t="s">
        <v>169</v>
      </c>
      <c r="G87" s="256" t="s">
        <v>174</v>
      </c>
      <c r="H87" s="284">
        <v>0</v>
      </c>
      <c r="I87" s="285">
        <v>4.43</v>
      </c>
      <c r="J87" s="286">
        <v>4.4000000000000004</v>
      </c>
      <c r="K87" s="286">
        <v>4.37</v>
      </c>
      <c r="L87" s="286">
        <v>4.33</v>
      </c>
      <c r="M87" s="285">
        <v>4.43</v>
      </c>
      <c r="N87" s="286">
        <f>J87*'CRCP &amp; Evolutions'!H$73</f>
        <v>4.4994432541444986</v>
      </c>
      <c r="O87" s="286">
        <f>K87*'CRCP &amp; Evolutions'!I$73</f>
        <v>4.7598003850044224</v>
      </c>
      <c r="P87" s="286">
        <f>L87*'CRCP &amp; Evolutions'!J$73</f>
        <v>4.8189651896267325</v>
      </c>
      <c r="Q87" s="287">
        <f t="shared" si="13"/>
        <v>4.43</v>
      </c>
      <c r="R87" s="277">
        <f t="shared" si="14"/>
        <v>4.5</v>
      </c>
      <c r="S87" s="277">
        <f t="shared" si="15"/>
        <v>4.76</v>
      </c>
      <c r="T87" s="278">
        <f t="shared" si="16"/>
        <v>4.82</v>
      </c>
    </row>
    <row r="88" spans="2:20" x14ac:dyDescent="0.3">
      <c r="B88" s="455"/>
      <c r="C88" s="458"/>
      <c r="D88" s="458"/>
      <c r="E88" s="458"/>
      <c r="F88" s="283" t="s">
        <v>170</v>
      </c>
      <c r="G88" s="256" t="s">
        <v>174</v>
      </c>
      <c r="H88" s="284">
        <v>0</v>
      </c>
      <c r="I88" s="285">
        <v>3.11</v>
      </c>
      <c r="J88" s="286">
        <v>3.22</v>
      </c>
      <c r="K88" s="286">
        <v>3.33</v>
      </c>
      <c r="L88" s="286">
        <v>3.44</v>
      </c>
      <c r="M88" s="285">
        <v>3.11</v>
      </c>
      <c r="N88" s="286">
        <f>J88*'CRCP &amp; Evolutions'!H$73</f>
        <v>3.29277438144211</v>
      </c>
      <c r="O88" s="286">
        <f>K88*'CRCP &amp; Evolutions'!I$73</f>
        <v>3.6270332453237359</v>
      </c>
      <c r="P88" s="286">
        <f>L88*'CRCP &amp; Evolutions'!J$73</f>
        <v>3.8284619520360184</v>
      </c>
      <c r="Q88" s="287">
        <f t="shared" si="13"/>
        <v>3.11</v>
      </c>
      <c r="R88" s="288">
        <f t="shared" si="14"/>
        <v>3.29</v>
      </c>
      <c r="S88" s="288">
        <f t="shared" si="15"/>
        <v>3.63</v>
      </c>
      <c r="T88" s="289">
        <f t="shared" si="16"/>
        <v>3.83</v>
      </c>
    </row>
    <row r="89" spans="2:20" x14ac:dyDescent="0.3">
      <c r="B89" s="455"/>
      <c r="C89" s="458"/>
      <c r="D89" s="458"/>
      <c r="E89" s="458"/>
      <c r="F89" s="283" t="s">
        <v>171</v>
      </c>
      <c r="G89" s="256" t="s">
        <v>174</v>
      </c>
      <c r="H89" s="284">
        <v>0</v>
      </c>
      <c r="I89" s="285">
        <v>2</v>
      </c>
      <c r="J89" s="286">
        <v>1.99</v>
      </c>
      <c r="K89" s="286">
        <v>1.98</v>
      </c>
      <c r="L89" s="286">
        <v>1.97</v>
      </c>
      <c r="M89" s="285">
        <v>2</v>
      </c>
      <c r="N89" s="286">
        <f>J89*'CRCP &amp; Evolutions'!H$73</f>
        <v>2.0349754717608071</v>
      </c>
      <c r="O89" s="286">
        <f>K89*'CRCP &amp; Evolutions'!I$73</f>
        <v>2.1566143620843836</v>
      </c>
      <c r="P89" s="286">
        <f>L89*'CRCP &amp; Evolutions'!J$73</f>
        <v>2.1924622225322548</v>
      </c>
      <c r="Q89" s="287">
        <f t="shared" si="13"/>
        <v>2</v>
      </c>
      <c r="R89" s="288">
        <f t="shared" si="14"/>
        <v>2.0299999999999998</v>
      </c>
      <c r="S89" s="288">
        <f t="shared" si="15"/>
        <v>2.16</v>
      </c>
      <c r="T89" s="289">
        <f t="shared" si="16"/>
        <v>2.19</v>
      </c>
    </row>
    <row r="90" spans="2:20" ht="16.5" thickBot="1" x14ac:dyDescent="0.35">
      <c r="B90" s="456"/>
      <c r="C90" s="459"/>
      <c r="D90" s="459"/>
      <c r="E90" s="459"/>
      <c r="F90" s="294" t="s">
        <v>172</v>
      </c>
      <c r="G90" s="327" t="s">
        <v>174</v>
      </c>
      <c r="H90" s="295">
        <v>0</v>
      </c>
      <c r="I90" s="296">
        <v>1.7</v>
      </c>
      <c r="J90" s="297">
        <v>1.54</v>
      </c>
      <c r="K90" s="297">
        <v>1.38</v>
      </c>
      <c r="L90" s="297">
        <v>1.21</v>
      </c>
      <c r="M90" s="296">
        <v>1.7</v>
      </c>
      <c r="N90" s="297">
        <f>J90*'CRCP &amp; Evolutions'!H$73</f>
        <v>1.5748051389505744</v>
      </c>
      <c r="O90" s="297">
        <f>K90*'CRCP &amp; Evolutions'!I$73</f>
        <v>1.5030948584224491</v>
      </c>
      <c r="P90" s="297">
        <f>L90*'CRCP &amp; Evolutions'!J$73</f>
        <v>1.3466392331289483</v>
      </c>
      <c r="Q90" s="298">
        <f t="shared" si="13"/>
        <v>1.7</v>
      </c>
      <c r="R90" s="299">
        <f t="shared" si="14"/>
        <v>1.57</v>
      </c>
      <c r="S90" s="299">
        <f t="shared" si="15"/>
        <v>1.5</v>
      </c>
      <c r="T90" s="300">
        <f t="shared" si="16"/>
        <v>1.35</v>
      </c>
    </row>
    <row r="91" spans="2:20" ht="15" customHeight="1" x14ac:dyDescent="0.3">
      <c r="B91" s="454" t="s">
        <v>217</v>
      </c>
      <c r="C91" s="457" t="s">
        <v>175</v>
      </c>
      <c r="D91" s="457"/>
      <c r="E91" s="457"/>
      <c r="F91" s="272" t="s">
        <v>169</v>
      </c>
      <c r="G91" s="326" t="s">
        <v>176</v>
      </c>
      <c r="H91" s="273">
        <v>0</v>
      </c>
      <c r="I91" s="274">
        <v>11.67</v>
      </c>
      <c r="J91" s="286">
        <v>12.61</v>
      </c>
      <c r="K91" s="286">
        <v>13.55</v>
      </c>
      <c r="L91" s="286">
        <v>14.48</v>
      </c>
      <c r="M91" s="274">
        <v>11.67</v>
      </c>
      <c r="N91" s="286">
        <f>J91*'CRCP &amp; Evolutions'!H$73</f>
        <v>12.894995326082299</v>
      </c>
      <c r="O91" s="286">
        <f>K91*'CRCP &amp; Evolutions'!I$73</f>
        <v>14.758648791032019</v>
      </c>
      <c r="P91" s="286">
        <f>L91*'CRCP &amp; Evolutions'!J$73</f>
        <v>16.115153798105101</v>
      </c>
      <c r="Q91" s="276">
        <f t="shared" ref="Q91:Q94" si="17">M91</f>
        <v>11.67</v>
      </c>
      <c r="R91" s="277">
        <f t="shared" si="14"/>
        <v>12.89</v>
      </c>
      <c r="S91" s="277">
        <f t="shared" si="15"/>
        <v>14.76</v>
      </c>
      <c r="T91" s="278">
        <f t="shared" si="16"/>
        <v>16.12</v>
      </c>
    </row>
    <row r="92" spans="2:20" ht="15" customHeight="1" x14ac:dyDescent="0.3">
      <c r="B92" s="455"/>
      <c r="C92" s="458"/>
      <c r="D92" s="458"/>
      <c r="E92" s="458"/>
      <c r="F92" s="283" t="s">
        <v>170</v>
      </c>
      <c r="G92" s="256" t="s">
        <v>176</v>
      </c>
      <c r="H92" s="284">
        <v>0</v>
      </c>
      <c r="I92" s="285">
        <v>6.87</v>
      </c>
      <c r="J92" s="286">
        <v>8.44</v>
      </c>
      <c r="K92" s="286">
        <v>10.02</v>
      </c>
      <c r="L92" s="286">
        <v>11.59</v>
      </c>
      <c r="M92" s="285">
        <v>6.87</v>
      </c>
      <c r="N92" s="286">
        <f>J92*'CRCP &amp; Evolutions'!H$73</f>
        <v>8.6307502420408095</v>
      </c>
      <c r="O92" s="286">
        <f>K92*'CRCP &amp; Evolutions'!I$73</f>
        <v>10.913775711154305</v>
      </c>
      <c r="P92" s="286">
        <f>L92*'CRCP &amp; Evolutions'!J$73</f>
        <v>12.898800588400423</v>
      </c>
      <c r="Q92" s="287">
        <f t="shared" si="17"/>
        <v>6.87</v>
      </c>
      <c r="R92" s="288">
        <f t="shared" si="14"/>
        <v>8.6300000000000008</v>
      </c>
      <c r="S92" s="288">
        <f t="shared" si="15"/>
        <v>10.91</v>
      </c>
      <c r="T92" s="289">
        <f t="shared" si="16"/>
        <v>12.9</v>
      </c>
    </row>
    <row r="93" spans="2:20" x14ac:dyDescent="0.3">
      <c r="B93" s="455"/>
      <c r="C93" s="458"/>
      <c r="D93" s="458"/>
      <c r="E93" s="458"/>
      <c r="F93" s="283" t="s">
        <v>171</v>
      </c>
      <c r="G93" s="256" t="s">
        <v>176</v>
      </c>
      <c r="H93" s="284">
        <v>0</v>
      </c>
      <c r="I93" s="285">
        <v>5.34</v>
      </c>
      <c r="J93" s="286">
        <v>7.07</v>
      </c>
      <c r="K93" s="286">
        <v>8.7899999999999991</v>
      </c>
      <c r="L93" s="286">
        <v>10.52</v>
      </c>
      <c r="M93" s="285">
        <v>5.34</v>
      </c>
      <c r="N93" s="286">
        <f>J93*'CRCP &amp; Evolutions'!H$73</f>
        <v>7.2297872288185463</v>
      </c>
      <c r="O93" s="286">
        <f>K93*'CRCP &amp; Evolutions'!I$73</f>
        <v>9.5740607286473374</v>
      </c>
      <c r="P93" s="286">
        <f>L93*'CRCP &amp; Evolutions'!J$73</f>
        <v>11.707970853319452</v>
      </c>
      <c r="Q93" s="287">
        <f t="shared" si="17"/>
        <v>5.34</v>
      </c>
      <c r="R93" s="288">
        <f t="shared" si="14"/>
        <v>7.23</v>
      </c>
      <c r="S93" s="288">
        <f t="shared" si="15"/>
        <v>9.57</v>
      </c>
      <c r="T93" s="289">
        <f t="shared" si="16"/>
        <v>11.71</v>
      </c>
    </row>
    <row r="94" spans="2:20" ht="16.5" thickBot="1" x14ac:dyDescent="0.35">
      <c r="B94" s="456"/>
      <c r="C94" s="459"/>
      <c r="D94" s="459"/>
      <c r="E94" s="459"/>
      <c r="F94" s="294" t="s">
        <v>172</v>
      </c>
      <c r="G94" s="327" t="s">
        <v>176</v>
      </c>
      <c r="H94" s="295">
        <v>0</v>
      </c>
      <c r="I94" s="296">
        <v>3.4</v>
      </c>
      <c r="J94" s="297">
        <v>5.71</v>
      </c>
      <c r="K94" s="297">
        <v>8.01</v>
      </c>
      <c r="L94" s="297">
        <v>10.31</v>
      </c>
      <c r="M94" s="296">
        <v>3.4</v>
      </c>
      <c r="N94" s="297">
        <f>J94*'CRCP &amp; Evolutions'!H$73</f>
        <v>5.8390502229920642</v>
      </c>
      <c r="O94" s="297">
        <f>K94*'CRCP &amp; Evolutions'!I$73</f>
        <v>8.7244853738868233</v>
      </c>
      <c r="P94" s="297">
        <f>L94*'CRCP &amp; Evolutions'!J$73</f>
        <v>11.474256606247486</v>
      </c>
      <c r="Q94" s="298">
        <f t="shared" si="17"/>
        <v>3.4</v>
      </c>
      <c r="R94" s="299">
        <f t="shared" si="14"/>
        <v>5.84</v>
      </c>
      <c r="S94" s="299">
        <f t="shared" si="15"/>
        <v>8.7200000000000006</v>
      </c>
      <c r="T94" s="300">
        <f t="shared" si="16"/>
        <v>11.47</v>
      </c>
    </row>
    <row r="95" spans="2:20" ht="15" customHeight="1" x14ac:dyDescent="0.3">
      <c r="B95" s="454" t="s">
        <v>218</v>
      </c>
      <c r="C95" s="464" t="s">
        <v>177</v>
      </c>
      <c r="D95" s="465"/>
      <c r="E95" s="465"/>
      <c r="F95" s="283" t="s">
        <v>169</v>
      </c>
      <c r="G95" s="326" t="s">
        <v>176</v>
      </c>
      <c r="H95" s="273">
        <v>0</v>
      </c>
      <c r="I95" s="274">
        <v>5.24</v>
      </c>
      <c r="J95" s="286">
        <v>5.25</v>
      </c>
      <c r="K95" s="286">
        <v>5.26</v>
      </c>
      <c r="L95" s="286">
        <v>5.27</v>
      </c>
      <c r="M95" s="274">
        <v>5.24</v>
      </c>
      <c r="N95" s="286">
        <f>J95*'CRCP &amp; Evolutions'!H$73</f>
        <v>5.3686538827860488</v>
      </c>
      <c r="O95" s="286">
        <f>K95*'CRCP &amp; Evolutions'!I$73</f>
        <v>5.7291876487696243</v>
      </c>
      <c r="P95" s="286">
        <f>L95*'CRCP &amp; Evolutions'!J$73</f>
        <v>5.8651146765202951</v>
      </c>
      <c r="Q95" s="276">
        <f t="shared" ref="Q95:Q106" si="18">M95</f>
        <v>5.24</v>
      </c>
      <c r="R95" s="277">
        <f t="shared" si="14"/>
        <v>5.37</v>
      </c>
      <c r="S95" s="277">
        <f t="shared" si="15"/>
        <v>5.73</v>
      </c>
      <c r="T95" s="278">
        <f t="shared" si="16"/>
        <v>5.87</v>
      </c>
    </row>
    <row r="96" spans="2:20" ht="15" customHeight="1" x14ac:dyDescent="0.3">
      <c r="B96" s="455"/>
      <c r="C96" s="466"/>
      <c r="D96" s="467"/>
      <c r="E96" s="467"/>
      <c r="F96" s="283" t="s">
        <v>170</v>
      </c>
      <c r="G96" s="256" t="s">
        <v>176</v>
      </c>
      <c r="H96" s="284">
        <v>0</v>
      </c>
      <c r="I96" s="285">
        <v>2.88</v>
      </c>
      <c r="J96" s="286">
        <v>3.06</v>
      </c>
      <c r="K96" s="286">
        <v>3.24</v>
      </c>
      <c r="L96" s="286">
        <v>3.42</v>
      </c>
      <c r="M96" s="285">
        <v>2.88</v>
      </c>
      <c r="N96" s="286">
        <f>J96*'CRCP &amp; Evolutions'!H$73</f>
        <v>3.1291582631095829</v>
      </c>
      <c r="O96" s="286">
        <f>K96*'CRCP &amp; Evolutions'!I$73</f>
        <v>3.5290053197744458</v>
      </c>
      <c r="P96" s="286">
        <f>L96*'CRCP &amp; Evolutions'!J$73</f>
        <v>3.8062034523148789</v>
      </c>
      <c r="Q96" s="287">
        <f t="shared" si="18"/>
        <v>2.88</v>
      </c>
      <c r="R96" s="288">
        <f t="shared" si="14"/>
        <v>3.13</v>
      </c>
      <c r="S96" s="288">
        <f t="shared" si="15"/>
        <v>3.53</v>
      </c>
      <c r="T96" s="289">
        <f t="shared" si="16"/>
        <v>3.81</v>
      </c>
    </row>
    <row r="97" spans="2:20" ht="15" customHeight="1" x14ac:dyDescent="0.3">
      <c r="B97" s="455"/>
      <c r="C97" s="466"/>
      <c r="D97" s="467"/>
      <c r="E97" s="467"/>
      <c r="F97" s="283" t="s">
        <v>171</v>
      </c>
      <c r="G97" s="256" t="s">
        <v>176</v>
      </c>
      <c r="H97" s="284">
        <v>0</v>
      </c>
      <c r="I97" s="285">
        <v>2.06</v>
      </c>
      <c r="J97" s="286">
        <v>2.0099999999999998</v>
      </c>
      <c r="K97" s="286">
        <v>1.96</v>
      </c>
      <c r="L97" s="286">
        <v>1.92</v>
      </c>
      <c r="M97" s="285">
        <v>2.06</v>
      </c>
      <c r="N97" s="286">
        <f>J97*'CRCP &amp; Evolutions'!H$73</f>
        <v>2.055427486552373</v>
      </c>
      <c r="O97" s="286">
        <f>K97*'CRCP &amp; Evolutions'!I$73</f>
        <v>2.1348303786289855</v>
      </c>
      <c r="P97" s="286">
        <f>L97*'CRCP &amp; Evolutions'!J$73</f>
        <v>2.1368159732294054</v>
      </c>
      <c r="Q97" s="287">
        <f t="shared" si="18"/>
        <v>2.06</v>
      </c>
      <c r="R97" s="288">
        <f t="shared" si="14"/>
        <v>2.06</v>
      </c>
      <c r="S97" s="288">
        <f t="shared" si="15"/>
        <v>2.13</v>
      </c>
      <c r="T97" s="289">
        <f t="shared" si="16"/>
        <v>2.14</v>
      </c>
    </row>
    <row r="98" spans="2:20" ht="15" customHeight="1" thickBot="1" x14ac:dyDescent="0.35">
      <c r="B98" s="455"/>
      <c r="C98" s="468"/>
      <c r="D98" s="469"/>
      <c r="E98" s="469"/>
      <c r="F98" s="294" t="s">
        <v>172</v>
      </c>
      <c r="G98" s="327" t="s">
        <v>176</v>
      </c>
      <c r="H98" s="295">
        <v>0</v>
      </c>
      <c r="I98" s="296">
        <v>1.81</v>
      </c>
      <c r="J98" s="297">
        <v>1.69</v>
      </c>
      <c r="K98" s="297">
        <v>1.58</v>
      </c>
      <c r="L98" s="297">
        <v>1.47</v>
      </c>
      <c r="M98" s="296">
        <v>1.81</v>
      </c>
      <c r="N98" s="297">
        <f>J98*'CRCP &amp; Evolutions'!H$73</f>
        <v>1.7281952498873185</v>
      </c>
      <c r="O98" s="297">
        <f>K98*'CRCP &amp; Evolutions'!I$73</f>
        <v>1.7209346929764273</v>
      </c>
      <c r="P98" s="297">
        <f>L98*'CRCP &amp; Evolutions'!J$73</f>
        <v>1.6359997295037636</v>
      </c>
      <c r="Q98" s="298">
        <f t="shared" si="18"/>
        <v>1.81</v>
      </c>
      <c r="R98" s="299">
        <f t="shared" si="14"/>
        <v>1.73</v>
      </c>
      <c r="S98" s="299">
        <f t="shared" si="15"/>
        <v>1.72</v>
      </c>
      <c r="T98" s="300">
        <f t="shared" si="16"/>
        <v>1.64</v>
      </c>
    </row>
    <row r="99" spans="2:20" ht="15" customHeight="1" x14ac:dyDescent="0.3">
      <c r="B99" s="455"/>
      <c r="C99" s="464" t="s">
        <v>178</v>
      </c>
      <c r="D99" s="465"/>
      <c r="E99" s="465"/>
      <c r="F99" s="283" t="s">
        <v>169</v>
      </c>
      <c r="G99" s="256" t="s">
        <v>176</v>
      </c>
      <c r="H99" s="284">
        <v>0</v>
      </c>
      <c r="I99" s="285">
        <v>2.93</v>
      </c>
      <c r="J99" s="286">
        <v>2.94</v>
      </c>
      <c r="K99" s="286">
        <v>2.94</v>
      </c>
      <c r="L99" s="286">
        <v>2.95</v>
      </c>
      <c r="M99" s="285">
        <v>2.93</v>
      </c>
      <c r="N99" s="286">
        <f>J99*'CRCP &amp; Evolutions'!H$73</f>
        <v>3.0064461743601871</v>
      </c>
      <c r="O99" s="286">
        <f>K99*'CRCP &amp; Evolutions'!I$73</f>
        <v>3.2022455679434785</v>
      </c>
      <c r="P99" s="286">
        <f>L99*'CRCP &amp; Evolutions'!J$73</f>
        <v>3.2831287088680972</v>
      </c>
      <c r="Q99" s="287">
        <f t="shared" si="18"/>
        <v>2.93</v>
      </c>
      <c r="R99" s="277">
        <f t="shared" si="14"/>
        <v>3.01</v>
      </c>
      <c r="S99" s="277">
        <f t="shared" si="15"/>
        <v>3.2</v>
      </c>
      <c r="T99" s="278">
        <f t="shared" si="16"/>
        <v>3.28</v>
      </c>
    </row>
    <row r="100" spans="2:20" ht="15" customHeight="1" x14ac:dyDescent="0.3">
      <c r="B100" s="455"/>
      <c r="C100" s="466"/>
      <c r="D100" s="467"/>
      <c r="E100" s="467"/>
      <c r="F100" s="283" t="s">
        <v>170</v>
      </c>
      <c r="G100" s="256" t="s">
        <v>176</v>
      </c>
      <c r="H100" s="284">
        <v>0</v>
      </c>
      <c r="I100" s="285">
        <v>1.78</v>
      </c>
      <c r="J100" s="286">
        <v>1.89</v>
      </c>
      <c r="K100" s="286">
        <v>2</v>
      </c>
      <c r="L100" s="286">
        <v>2.11</v>
      </c>
      <c r="M100" s="285">
        <v>1.78</v>
      </c>
      <c r="N100" s="286">
        <f>J100*'CRCP &amp; Evolutions'!H$73</f>
        <v>1.9327153978029774</v>
      </c>
      <c r="O100" s="286">
        <f>K100*'CRCP &amp; Evolutions'!I$73</f>
        <v>2.1783983455397813</v>
      </c>
      <c r="P100" s="286">
        <f>L100*'CRCP &amp; Evolutions'!J$73</f>
        <v>2.3482717205802319</v>
      </c>
      <c r="Q100" s="287">
        <f t="shared" si="18"/>
        <v>1.78</v>
      </c>
      <c r="R100" s="288">
        <f t="shared" si="14"/>
        <v>1.93</v>
      </c>
      <c r="S100" s="288">
        <f t="shared" si="15"/>
        <v>2.1800000000000002</v>
      </c>
      <c r="T100" s="289">
        <f t="shared" si="16"/>
        <v>2.35</v>
      </c>
    </row>
    <row r="101" spans="2:20" x14ac:dyDescent="0.3">
      <c r="B101" s="455"/>
      <c r="C101" s="466"/>
      <c r="D101" s="467"/>
      <c r="E101" s="467"/>
      <c r="F101" s="283" t="s">
        <v>171</v>
      </c>
      <c r="G101" s="256" t="s">
        <v>176</v>
      </c>
      <c r="H101" s="284">
        <v>0</v>
      </c>
      <c r="I101" s="285">
        <v>0.76</v>
      </c>
      <c r="J101" s="286">
        <v>0.74</v>
      </c>
      <c r="K101" s="286">
        <v>0.72</v>
      </c>
      <c r="L101" s="286">
        <v>0.71</v>
      </c>
      <c r="M101" s="285">
        <v>0.76</v>
      </c>
      <c r="N101" s="286">
        <f>J101*'CRCP &amp; Evolutions'!H$73</f>
        <v>0.75672454728793825</v>
      </c>
      <c r="O101" s="286">
        <f>K101*'CRCP &amp; Evolutions'!I$73</f>
        <v>0.78422340439432126</v>
      </c>
      <c r="P101" s="286">
        <f>L101*'CRCP &amp; Evolutions'!J$73</f>
        <v>0.79017674010045724</v>
      </c>
      <c r="Q101" s="287">
        <f t="shared" si="18"/>
        <v>0.76</v>
      </c>
      <c r="R101" s="288">
        <f t="shared" si="14"/>
        <v>0.76</v>
      </c>
      <c r="S101" s="288">
        <f t="shared" si="15"/>
        <v>0.78</v>
      </c>
      <c r="T101" s="289">
        <f t="shared" si="16"/>
        <v>0.79</v>
      </c>
    </row>
    <row r="102" spans="2:20" ht="16.5" thickBot="1" x14ac:dyDescent="0.35">
      <c r="B102" s="456"/>
      <c r="C102" s="468"/>
      <c r="D102" s="469"/>
      <c r="E102" s="469"/>
      <c r="F102" s="294" t="s">
        <v>172</v>
      </c>
      <c r="G102" s="327" t="s">
        <v>176</v>
      </c>
      <c r="H102" s="295">
        <v>0</v>
      </c>
      <c r="I102" s="296">
        <v>0.56000000000000005</v>
      </c>
      <c r="J102" s="297">
        <v>0.52</v>
      </c>
      <c r="K102" s="297">
        <v>0.49</v>
      </c>
      <c r="L102" s="297">
        <v>0.45</v>
      </c>
      <c r="M102" s="296">
        <v>0.56000000000000005</v>
      </c>
      <c r="N102" s="297">
        <f>J102*'CRCP &amp; Evolutions'!H$73</f>
        <v>0.53175238458071339</v>
      </c>
      <c r="O102" s="297">
        <f>K102*'CRCP &amp; Evolutions'!I$73</f>
        <v>0.53370759465724638</v>
      </c>
      <c r="P102" s="297">
        <f>L102*'CRCP &amp; Evolutions'!J$73</f>
        <v>0.50081624372564193</v>
      </c>
      <c r="Q102" s="298">
        <f t="shared" si="18"/>
        <v>0.56000000000000005</v>
      </c>
      <c r="R102" s="299">
        <f t="shared" si="14"/>
        <v>0.53</v>
      </c>
      <c r="S102" s="299">
        <f t="shared" si="15"/>
        <v>0.53</v>
      </c>
      <c r="T102" s="300">
        <f t="shared" si="16"/>
        <v>0.5</v>
      </c>
    </row>
    <row r="103" spans="2:20" ht="15" customHeight="1" x14ac:dyDescent="0.3">
      <c r="B103" s="454" t="s">
        <v>219</v>
      </c>
      <c r="C103" s="457" t="s">
        <v>175</v>
      </c>
      <c r="D103" s="457"/>
      <c r="E103" s="457"/>
      <c r="F103" s="272" t="s">
        <v>169</v>
      </c>
      <c r="G103" s="326" t="s">
        <v>176</v>
      </c>
      <c r="H103" s="273">
        <v>0</v>
      </c>
      <c r="I103" s="274">
        <v>21.05</v>
      </c>
      <c r="J103" s="286">
        <v>22.06</v>
      </c>
      <c r="K103" s="286">
        <v>23.06</v>
      </c>
      <c r="L103" s="286">
        <v>24.07</v>
      </c>
      <c r="M103" s="274">
        <v>21.05</v>
      </c>
      <c r="N103" s="286">
        <f>J103*'CRCP &amp; Evolutions'!H$73</f>
        <v>22.558572315097187</v>
      </c>
      <c r="O103" s="286">
        <f>K103*'CRCP &amp; Evolutions'!I$73</f>
        <v>25.116932924073677</v>
      </c>
      <c r="P103" s="286">
        <f>L103*'CRCP &amp; Evolutions'!J$73</f>
        <v>26.788104414391558</v>
      </c>
      <c r="Q103" s="276">
        <f t="shared" si="18"/>
        <v>21.05</v>
      </c>
      <c r="R103" s="277">
        <f t="shared" ref="R103:R166" si="19">IF($H103=1,ROUND(N103/12,2)*12,ROUND(N103,2))</f>
        <v>22.56</v>
      </c>
      <c r="S103" s="277">
        <f t="shared" ref="S103:S166" si="20">IF($H103=1,ROUND(O103/12,2)*12,ROUND(O103,2))</f>
        <v>25.12</v>
      </c>
      <c r="T103" s="278">
        <f t="shared" ref="T103:T166" si="21">IF($H103=1,ROUND(P103/12,2)*12,ROUND(P103,2))</f>
        <v>26.79</v>
      </c>
    </row>
    <row r="104" spans="2:20" ht="15" customHeight="1" x14ac:dyDescent="0.3">
      <c r="B104" s="455"/>
      <c r="C104" s="458"/>
      <c r="D104" s="458"/>
      <c r="E104" s="458"/>
      <c r="F104" s="283" t="s">
        <v>170</v>
      </c>
      <c r="G104" s="256" t="s">
        <v>176</v>
      </c>
      <c r="H104" s="284">
        <v>0</v>
      </c>
      <c r="I104" s="285">
        <v>12.82</v>
      </c>
      <c r="J104" s="286">
        <v>13.68</v>
      </c>
      <c r="K104" s="286">
        <v>14.55</v>
      </c>
      <c r="L104" s="286">
        <v>15.41</v>
      </c>
      <c r="M104" s="285">
        <v>12.82</v>
      </c>
      <c r="N104" s="286">
        <f>J104*'CRCP &amp; Evolutions'!H$73</f>
        <v>13.989178117431075</v>
      </c>
      <c r="O104" s="286">
        <f>K104*'CRCP &amp; Evolutions'!I$73</f>
        <v>15.847847963801909</v>
      </c>
      <c r="P104" s="286">
        <f>L104*'CRCP &amp; Evolutions'!J$73</f>
        <v>17.150174035138093</v>
      </c>
      <c r="Q104" s="287">
        <f t="shared" si="18"/>
        <v>12.82</v>
      </c>
      <c r="R104" s="288">
        <f t="shared" si="19"/>
        <v>13.99</v>
      </c>
      <c r="S104" s="288">
        <f t="shared" si="20"/>
        <v>15.85</v>
      </c>
      <c r="T104" s="289">
        <f t="shared" si="21"/>
        <v>17.149999999999999</v>
      </c>
    </row>
    <row r="105" spans="2:20" x14ac:dyDescent="0.3">
      <c r="B105" s="455"/>
      <c r="C105" s="458"/>
      <c r="D105" s="458"/>
      <c r="E105" s="458"/>
      <c r="F105" s="283" t="s">
        <v>171</v>
      </c>
      <c r="G105" s="256" t="s">
        <v>176</v>
      </c>
      <c r="H105" s="284">
        <v>0</v>
      </c>
      <c r="I105" s="285">
        <v>9.9499999999999993</v>
      </c>
      <c r="J105" s="286">
        <v>10.83</v>
      </c>
      <c r="K105" s="286">
        <v>11.71</v>
      </c>
      <c r="L105" s="286">
        <v>12.59</v>
      </c>
      <c r="M105" s="285">
        <v>9.9499999999999993</v>
      </c>
      <c r="N105" s="286">
        <f>J105*'CRCP &amp; Evolutions'!H$73</f>
        <v>11.074766009632935</v>
      </c>
      <c r="O105" s="286">
        <f>K105*'CRCP &amp; Evolutions'!I$73</f>
        <v>12.75452231313542</v>
      </c>
      <c r="P105" s="286">
        <f>L105*'CRCP &amp; Evolutions'!J$73</f>
        <v>14.011725574457405</v>
      </c>
      <c r="Q105" s="287">
        <f t="shared" si="18"/>
        <v>9.9499999999999993</v>
      </c>
      <c r="R105" s="288">
        <f t="shared" si="19"/>
        <v>11.07</v>
      </c>
      <c r="S105" s="288">
        <f t="shared" si="20"/>
        <v>12.75</v>
      </c>
      <c r="T105" s="289">
        <f t="shared" si="21"/>
        <v>14.01</v>
      </c>
    </row>
    <row r="106" spans="2:20" ht="16.5" thickBot="1" x14ac:dyDescent="0.35">
      <c r="B106" s="456"/>
      <c r="C106" s="459"/>
      <c r="D106" s="459"/>
      <c r="E106" s="459"/>
      <c r="F106" s="294" t="s">
        <v>172</v>
      </c>
      <c r="G106" s="327" t="s">
        <v>176</v>
      </c>
      <c r="H106" s="295">
        <v>0</v>
      </c>
      <c r="I106" s="296">
        <v>5.84</v>
      </c>
      <c r="J106" s="297">
        <v>7.79</v>
      </c>
      <c r="K106" s="297">
        <v>9.73</v>
      </c>
      <c r="L106" s="297">
        <v>11.68</v>
      </c>
      <c r="M106" s="296">
        <v>5.84</v>
      </c>
      <c r="N106" s="297">
        <f>J106*'CRCP &amp; Evolutions'!H$73</f>
        <v>7.9660597613149182</v>
      </c>
      <c r="O106" s="297">
        <f>K106*'CRCP &amp; Evolutions'!I$73</f>
        <v>10.597907951051036</v>
      </c>
      <c r="P106" s="297">
        <f>L106*'CRCP &amp; Evolutions'!J$73</f>
        <v>12.998963837145551</v>
      </c>
      <c r="Q106" s="298">
        <f t="shared" si="18"/>
        <v>5.84</v>
      </c>
      <c r="R106" s="299">
        <f t="shared" si="19"/>
        <v>7.97</v>
      </c>
      <c r="S106" s="299">
        <f t="shared" si="20"/>
        <v>10.6</v>
      </c>
      <c r="T106" s="300">
        <f t="shared" si="21"/>
        <v>13</v>
      </c>
    </row>
    <row r="107" spans="2:20" ht="15" customHeight="1" x14ac:dyDescent="0.3">
      <c r="B107" s="454" t="s">
        <v>220</v>
      </c>
      <c r="C107" s="464" t="s">
        <v>177</v>
      </c>
      <c r="D107" s="465"/>
      <c r="E107" s="465"/>
      <c r="F107" s="283" t="s">
        <v>169</v>
      </c>
      <c r="G107" s="326" t="s">
        <v>176</v>
      </c>
      <c r="H107" s="273">
        <v>0</v>
      </c>
      <c r="I107" s="274">
        <v>4.57</v>
      </c>
      <c r="J107" s="286">
        <v>4.54</v>
      </c>
      <c r="K107" s="286">
        <v>4.5</v>
      </c>
      <c r="L107" s="286">
        <v>4.47</v>
      </c>
      <c r="M107" s="274">
        <v>4.57</v>
      </c>
      <c r="N107" s="286">
        <f>J107*'CRCP &amp; Evolutions'!H$73</f>
        <v>4.642607357685459</v>
      </c>
      <c r="O107" s="286">
        <f>K107*'CRCP &amp; Evolutions'!I$73</f>
        <v>4.9013962774645083</v>
      </c>
      <c r="P107" s="286">
        <f>L107*'CRCP &amp; Evolutions'!J$73</f>
        <v>4.9747746876747101</v>
      </c>
      <c r="Q107" s="276">
        <f t="shared" ref="Q107:Q114" si="22">M107</f>
        <v>4.57</v>
      </c>
      <c r="R107" s="277">
        <f t="shared" si="19"/>
        <v>4.6399999999999997</v>
      </c>
      <c r="S107" s="277">
        <f t="shared" si="20"/>
        <v>4.9000000000000004</v>
      </c>
      <c r="T107" s="278">
        <f t="shared" si="21"/>
        <v>4.97</v>
      </c>
    </row>
    <row r="108" spans="2:20" ht="15" customHeight="1" x14ac:dyDescent="0.3">
      <c r="B108" s="455"/>
      <c r="C108" s="466"/>
      <c r="D108" s="467"/>
      <c r="E108" s="467"/>
      <c r="F108" s="283" t="s">
        <v>170</v>
      </c>
      <c r="G108" s="256" t="s">
        <v>176</v>
      </c>
      <c r="H108" s="284">
        <v>0</v>
      </c>
      <c r="I108" s="285">
        <v>2.68</v>
      </c>
      <c r="J108" s="286">
        <v>2.77</v>
      </c>
      <c r="K108" s="286">
        <v>2.87</v>
      </c>
      <c r="L108" s="286">
        <v>2.96</v>
      </c>
      <c r="M108" s="285">
        <v>2.68</v>
      </c>
      <c r="N108" s="286">
        <f>J108*'CRCP &amp; Evolutions'!H$73</f>
        <v>2.8326040486318771</v>
      </c>
      <c r="O108" s="286">
        <f>K108*'CRCP &amp; Evolutions'!I$73</f>
        <v>3.1260016258495864</v>
      </c>
      <c r="P108" s="286">
        <f>L108*'CRCP &amp; Evolutions'!J$73</f>
        <v>3.2942579587286671</v>
      </c>
      <c r="Q108" s="287">
        <f t="shared" si="22"/>
        <v>2.68</v>
      </c>
      <c r="R108" s="288">
        <f t="shared" si="19"/>
        <v>2.83</v>
      </c>
      <c r="S108" s="288">
        <f t="shared" si="20"/>
        <v>3.13</v>
      </c>
      <c r="T108" s="289">
        <f t="shared" si="21"/>
        <v>3.29</v>
      </c>
    </row>
    <row r="109" spans="2:20" ht="15" customHeight="1" x14ac:dyDescent="0.3">
      <c r="B109" s="455"/>
      <c r="C109" s="466"/>
      <c r="D109" s="467"/>
      <c r="E109" s="467"/>
      <c r="F109" s="283" t="s">
        <v>171</v>
      </c>
      <c r="G109" s="256" t="s">
        <v>176</v>
      </c>
      <c r="H109" s="284">
        <v>0</v>
      </c>
      <c r="I109" s="285">
        <v>1.84</v>
      </c>
      <c r="J109" s="286">
        <v>1.83</v>
      </c>
      <c r="K109" s="286">
        <v>1.82</v>
      </c>
      <c r="L109" s="286">
        <v>1.81</v>
      </c>
      <c r="M109" s="285">
        <v>1.84</v>
      </c>
      <c r="N109" s="286">
        <f>J109*'CRCP &amp; Evolutions'!H$73</f>
        <v>1.87135935342828</v>
      </c>
      <c r="O109" s="286">
        <f>K109*'CRCP &amp; Evolutions'!I$73</f>
        <v>1.9823424944412011</v>
      </c>
      <c r="P109" s="286">
        <f>L109*'CRCP &amp; Evolutions'!J$73</f>
        <v>2.0143942247631377</v>
      </c>
      <c r="Q109" s="287">
        <f t="shared" si="22"/>
        <v>1.84</v>
      </c>
      <c r="R109" s="288">
        <f t="shared" si="19"/>
        <v>1.87</v>
      </c>
      <c r="S109" s="288">
        <f t="shared" si="20"/>
        <v>1.98</v>
      </c>
      <c r="T109" s="289">
        <f t="shared" si="21"/>
        <v>2.0099999999999998</v>
      </c>
    </row>
    <row r="110" spans="2:20" ht="15" customHeight="1" thickBot="1" x14ac:dyDescent="0.35">
      <c r="B110" s="455"/>
      <c r="C110" s="468"/>
      <c r="D110" s="469"/>
      <c r="E110" s="469"/>
      <c r="F110" s="294" t="s">
        <v>172</v>
      </c>
      <c r="G110" s="327" t="s">
        <v>176</v>
      </c>
      <c r="H110" s="295">
        <v>0</v>
      </c>
      <c r="I110" s="296">
        <v>1.27</v>
      </c>
      <c r="J110" s="297">
        <v>1.1499999999999999</v>
      </c>
      <c r="K110" s="297">
        <v>1.03</v>
      </c>
      <c r="L110" s="297">
        <v>0.91</v>
      </c>
      <c r="M110" s="296">
        <v>1.27</v>
      </c>
      <c r="N110" s="297">
        <f>J110*'CRCP &amp; Evolutions'!H$73</f>
        <v>1.1759908505150392</v>
      </c>
      <c r="O110" s="297">
        <f>K110*'CRCP &amp; Evolutions'!I$73</f>
        <v>1.1218751479529874</v>
      </c>
      <c r="P110" s="297">
        <f>L110*'CRCP &amp; Evolutions'!J$73</f>
        <v>1.0127617373118538</v>
      </c>
      <c r="Q110" s="298">
        <f t="shared" si="22"/>
        <v>1.27</v>
      </c>
      <c r="R110" s="299">
        <f t="shared" si="19"/>
        <v>1.18</v>
      </c>
      <c r="S110" s="299">
        <f t="shared" si="20"/>
        <v>1.1200000000000001</v>
      </c>
      <c r="T110" s="300">
        <f t="shared" si="21"/>
        <v>1.01</v>
      </c>
    </row>
    <row r="111" spans="2:20" ht="15" customHeight="1" x14ac:dyDescent="0.3">
      <c r="B111" s="455"/>
      <c r="C111" s="464" t="s">
        <v>178</v>
      </c>
      <c r="D111" s="465"/>
      <c r="E111" s="465"/>
      <c r="F111" s="283" t="s">
        <v>169</v>
      </c>
      <c r="G111" s="256" t="s">
        <v>176</v>
      </c>
      <c r="H111" s="284">
        <v>0</v>
      </c>
      <c r="I111" s="285">
        <v>2.93</v>
      </c>
      <c r="J111" s="286">
        <v>2.94</v>
      </c>
      <c r="K111" s="286">
        <v>2.94</v>
      </c>
      <c r="L111" s="286">
        <v>2.95</v>
      </c>
      <c r="M111" s="285">
        <v>2.93</v>
      </c>
      <c r="N111" s="286">
        <f>J111*'CRCP &amp; Evolutions'!H$73</f>
        <v>3.0064461743601871</v>
      </c>
      <c r="O111" s="286">
        <f>K111*'CRCP &amp; Evolutions'!I$73</f>
        <v>3.2022455679434785</v>
      </c>
      <c r="P111" s="286">
        <f>L111*'CRCP &amp; Evolutions'!J$73</f>
        <v>3.2831287088680972</v>
      </c>
      <c r="Q111" s="287">
        <f t="shared" si="22"/>
        <v>2.93</v>
      </c>
      <c r="R111" s="277">
        <f t="shared" si="19"/>
        <v>3.01</v>
      </c>
      <c r="S111" s="277">
        <f t="shared" si="20"/>
        <v>3.2</v>
      </c>
      <c r="T111" s="278">
        <f t="shared" si="21"/>
        <v>3.28</v>
      </c>
    </row>
    <row r="112" spans="2:20" ht="15" customHeight="1" x14ac:dyDescent="0.3">
      <c r="B112" s="455"/>
      <c r="C112" s="466"/>
      <c r="D112" s="467"/>
      <c r="E112" s="467"/>
      <c r="F112" s="283" t="s">
        <v>170</v>
      </c>
      <c r="G112" s="256" t="s">
        <v>176</v>
      </c>
      <c r="H112" s="284">
        <v>0</v>
      </c>
      <c r="I112" s="285">
        <v>1.78</v>
      </c>
      <c r="J112" s="286">
        <v>1.89</v>
      </c>
      <c r="K112" s="286">
        <v>2</v>
      </c>
      <c r="L112" s="286">
        <v>2.11</v>
      </c>
      <c r="M112" s="285">
        <v>1.78</v>
      </c>
      <c r="N112" s="286">
        <f>J112*'CRCP &amp; Evolutions'!H$73</f>
        <v>1.9327153978029774</v>
      </c>
      <c r="O112" s="286">
        <f>K112*'CRCP &amp; Evolutions'!I$73</f>
        <v>2.1783983455397813</v>
      </c>
      <c r="P112" s="286">
        <f>L112*'CRCP &amp; Evolutions'!J$73</f>
        <v>2.3482717205802319</v>
      </c>
      <c r="Q112" s="287">
        <f t="shared" si="22"/>
        <v>1.78</v>
      </c>
      <c r="R112" s="288">
        <f t="shared" si="19"/>
        <v>1.93</v>
      </c>
      <c r="S112" s="288">
        <f t="shared" si="20"/>
        <v>2.1800000000000002</v>
      </c>
      <c r="T112" s="289">
        <f t="shared" si="21"/>
        <v>2.35</v>
      </c>
    </row>
    <row r="113" spans="2:20" x14ac:dyDescent="0.3">
      <c r="B113" s="455"/>
      <c r="C113" s="466"/>
      <c r="D113" s="467"/>
      <c r="E113" s="467"/>
      <c r="F113" s="283" t="s">
        <v>171</v>
      </c>
      <c r="G113" s="256" t="s">
        <v>176</v>
      </c>
      <c r="H113" s="284">
        <v>0</v>
      </c>
      <c r="I113" s="285">
        <v>0.76</v>
      </c>
      <c r="J113" s="286">
        <v>0.74</v>
      </c>
      <c r="K113" s="286">
        <v>0.72</v>
      </c>
      <c r="L113" s="286">
        <v>0.71</v>
      </c>
      <c r="M113" s="285">
        <v>0.76</v>
      </c>
      <c r="N113" s="286">
        <f>J113*'CRCP &amp; Evolutions'!H$73</f>
        <v>0.75672454728793825</v>
      </c>
      <c r="O113" s="286">
        <f>K113*'CRCP &amp; Evolutions'!I$73</f>
        <v>0.78422340439432126</v>
      </c>
      <c r="P113" s="286">
        <f>L113*'CRCP &amp; Evolutions'!J$73</f>
        <v>0.79017674010045724</v>
      </c>
      <c r="Q113" s="287">
        <f t="shared" si="22"/>
        <v>0.76</v>
      </c>
      <c r="R113" s="288">
        <f t="shared" si="19"/>
        <v>0.76</v>
      </c>
      <c r="S113" s="288">
        <f t="shared" si="20"/>
        <v>0.78</v>
      </c>
      <c r="T113" s="289">
        <f t="shared" si="21"/>
        <v>0.79</v>
      </c>
    </row>
    <row r="114" spans="2:20" ht="16.5" thickBot="1" x14ac:dyDescent="0.35">
      <c r="B114" s="456"/>
      <c r="C114" s="468"/>
      <c r="D114" s="469"/>
      <c r="E114" s="469"/>
      <c r="F114" s="294" t="s">
        <v>172</v>
      </c>
      <c r="G114" s="327" t="s">
        <v>176</v>
      </c>
      <c r="H114" s="295">
        <v>0</v>
      </c>
      <c r="I114" s="296">
        <v>0.56000000000000005</v>
      </c>
      <c r="J114" s="297">
        <v>0.52</v>
      </c>
      <c r="K114" s="297">
        <v>0.49</v>
      </c>
      <c r="L114" s="297">
        <v>0.45</v>
      </c>
      <c r="M114" s="296">
        <v>0.56000000000000005</v>
      </c>
      <c r="N114" s="297">
        <f>J114*'CRCP &amp; Evolutions'!H$73</f>
        <v>0.53175238458071339</v>
      </c>
      <c r="O114" s="297">
        <f>K114*'CRCP &amp; Evolutions'!I$73</f>
        <v>0.53370759465724638</v>
      </c>
      <c r="P114" s="297">
        <f>L114*'CRCP &amp; Evolutions'!J$73</f>
        <v>0.50081624372564193</v>
      </c>
      <c r="Q114" s="298">
        <f t="shared" si="22"/>
        <v>0.56000000000000005</v>
      </c>
      <c r="R114" s="299">
        <f t="shared" si="19"/>
        <v>0.53</v>
      </c>
      <c r="S114" s="299">
        <f t="shared" si="20"/>
        <v>0.53</v>
      </c>
      <c r="T114" s="300">
        <f t="shared" si="21"/>
        <v>0.5</v>
      </c>
    </row>
    <row r="115" spans="2:20" ht="17.25" customHeight="1" thickBot="1" x14ac:dyDescent="0.35">
      <c r="B115" s="317" t="s">
        <v>221</v>
      </c>
      <c r="C115" s="453" t="s">
        <v>179</v>
      </c>
      <c r="D115" s="452"/>
      <c r="E115" s="452"/>
      <c r="F115" s="318"/>
      <c r="G115" s="318" t="s">
        <v>180</v>
      </c>
      <c r="H115" s="320">
        <v>0</v>
      </c>
      <c r="I115" s="322">
        <v>10.29</v>
      </c>
      <c r="J115" s="297">
        <v>10.29</v>
      </c>
      <c r="K115" s="297">
        <v>10.29</v>
      </c>
      <c r="L115" s="297">
        <v>10.29</v>
      </c>
      <c r="M115" s="322">
        <v>10.29</v>
      </c>
      <c r="N115" s="297">
        <f>J115*'CRCP &amp; Evolutions'!H$73</f>
        <v>10.522561610260654</v>
      </c>
      <c r="O115" s="297">
        <f>K115*'CRCP &amp; Evolutions'!I$73</f>
        <v>11.207859487802175</v>
      </c>
      <c r="P115" s="297">
        <f>L115*'CRCP &amp; Evolutions'!J$73</f>
        <v>11.451998106526345</v>
      </c>
      <c r="Q115" s="323">
        <f t="shared" si="13"/>
        <v>10.29</v>
      </c>
      <c r="R115" s="324">
        <f t="shared" si="19"/>
        <v>10.52</v>
      </c>
      <c r="S115" s="324">
        <f t="shared" si="20"/>
        <v>11.21</v>
      </c>
      <c r="T115" s="325">
        <f t="shared" si="21"/>
        <v>11.45</v>
      </c>
    </row>
    <row r="116" spans="2:20" ht="16.5" customHeight="1" thickBot="1" x14ac:dyDescent="0.35">
      <c r="B116" s="453" t="s">
        <v>222</v>
      </c>
      <c r="C116" s="452"/>
      <c r="D116" s="452"/>
      <c r="E116" s="452"/>
      <c r="F116" s="452"/>
      <c r="G116" s="318" t="s">
        <v>181</v>
      </c>
      <c r="H116" s="320">
        <v>1</v>
      </c>
      <c r="I116" s="322">
        <v>8.49</v>
      </c>
      <c r="J116" s="411">
        <v>8.8000000000000007</v>
      </c>
      <c r="K116" s="411">
        <v>9.18</v>
      </c>
      <c r="L116" s="411">
        <v>9.18</v>
      </c>
      <c r="M116" s="322">
        <v>8.49</v>
      </c>
      <c r="N116" s="321">
        <f>J116*'CRCP &amp; Evolutions'!H$73</f>
        <v>8.9988865082889973</v>
      </c>
      <c r="O116" s="321">
        <f>K116*'CRCP &amp; Evolutions'!I$73</f>
        <v>9.9988484060275962</v>
      </c>
      <c r="P116" s="321">
        <f>L116*'CRCP &amp; Evolutions'!J$73</f>
        <v>10.216651372003096</v>
      </c>
      <c r="Q116" s="323">
        <f>IF($H116=1,ROUND(M116/12,2)*12,ROUND(M116,2))</f>
        <v>8.52</v>
      </c>
      <c r="R116" s="324">
        <f>IF($H116=1,ROUND(N116/12,2)*12,ROUND(N116,2))</f>
        <v>9</v>
      </c>
      <c r="S116" s="324">
        <f t="shared" si="20"/>
        <v>9.9599999999999991</v>
      </c>
      <c r="T116" s="325">
        <f t="shared" si="21"/>
        <v>10.199999999999999</v>
      </c>
    </row>
    <row r="117" spans="2:20" ht="15.75" customHeight="1" thickBot="1" x14ac:dyDescent="0.35">
      <c r="B117" s="453" t="s">
        <v>223</v>
      </c>
      <c r="C117" s="452"/>
      <c r="D117" s="452"/>
      <c r="E117" s="452"/>
      <c r="F117" s="452"/>
      <c r="G117" s="318" t="s">
        <v>174</v>
      </c>
      <c r="H117" s="320">
        <v>0</v>
      </c>
      <c r="I117" s="322">
        <v>3.71</v>
      </c>
      <c r="J117" s="411">
        <v>3.85</v>
      </c>
      <c r="K117" s="411">
        <v>4.01</v>
      </c>
      <c r="L117" s="411">
        <v>4.01</v>
      </c>
      <c r="M117" s="322">
        <v>3.71</v>
      </c>
      <c r="N117" s="321">
        <f>J117*'CRCP &amp; Evolutions'!H$73</f>
        <v>3.9370128473764359</v>
      </c>
      <c r="O117" s="321">
        <f>K117*'CRCP &amp; Evolutions'!I$73</f>
        <v>4.3676886828072616</v>
      </c>
      <c r="P117" s="321">
        <f>L117*'CRCP &amp; Evolutions'!J$73</f>
        <v>4.4628291940884983</v>
      </c>
      <c r="Q117" s="323">
        <f t="shared" si="13"/>
        <v>3.71</v>
      </c>
      <c r="R117" s="324">
        <f t="shared" si="19"/>
        <v>3.94</v>
      </c>
      <c r="S117" s="324">
        <f t="shared" si="20"/>
        <v>4.37</v>
      </c>
      <c r="T117" s="325">
        <f t="shared" si="21"/>
        <v>4.46</v>
      </c>
    </row>
    <row r="118" spans="2:20" ht="15.75" customHeight="1" thickBot="1" x14ac:dyDescent="0.35">
      <c r="B118" s="453" t="s">
        <v>224</v>
      </c>
      <c r="C118" s="452"/>
      <c r="D118" s="452"/>
      <c r="E118" s="452"/>
      <c r="F118" s="452"/>
      <c r="G118" s="318" t="s">
        <v>181</v>
      </c>
      <c r="H118" s="320">
        <v>1</v>
      </c>
      <c r="I118" s="322">
        <v>8.44</v>
      </c>
      <c r="J118" s="411">
        <v>8.31</v>
      </c>
      <c r="K118" s="411">
        <v>8.24</v>
      </c>
      <c r="L118" s="411">
        <v>8.2100000000000009</v>
      </c>
      <c r="M118" s="322">
        <v>8.44</v>
      </c>
      <c r="N118" s="321">
        <f>J118*'CRCP &amp; Evolutions'!H$73</f>
        <v>8.4978121458956313</v>
      </c>
      <c r="O118" s="321">
        <f>K118*'CRCP &amp; Evolutions'!I$73</f>
        <v>8.975001183623899</v>
      </c>
      <c r="P118" s="321">
        <f>L118*'CRCP &amp; Evolutions'!J$73</f>
        <v>9.137114135527824</v>
      </c>
      <c r="Q118" s="323">
        <f>IF($H118=1,ROUND(M118/12,2)*12,ROUND(M118,2))</f>
        <v>8.3999999999999986</v>
      </c>
      <c r="R118" s="324">
        <f t="shared" si="19"/>
        <v>8.52</v>
      </c>
      <c r="S118" s="324">
        <f t="shared" si="20"/>
        <v>9</v>
      </c>
      <c r="T118" s="325">
        <f t="shared" si="21"/>
        <v>9.120000000000001</v>
      </c>
    </row>
    <row r="119" spans="2:20" ht="15" customHeight="1" x14ac:dyDescent="0.3">
      <c r="B119" s="460" t="s">
        <v>225</v>
      </c>
      <c r="C119" s="457"/>
      <c r="D119" s="457"/>
      <c r="E119" s="457"/>
      <c r="F119" s="326" t="s">
        <v>169</v>
      </c>
      <c r="G119" s="326" t="s">
        <v>174</v>
      </c>
      <c r="H119" s="273">
        <v>0</v>
      </c>
      <c r="I119" s="274">
        <v>6.27</v>
      </c>
      <c r="J119" s="414">
        <v>6.18</v>
      </c>
      <c r="K119" s="414">
        <v>6.12</v>
      </c>
      <c r="L119" s="414">
        <v>6.1</v>
      </c>
      <c r="M119" s="274">
        <v>6.27</v>
      </c>
      <c r="N119" s="286">
        <f>J119*'CRCP &amp; Evolutions'!H$73</f>
        <v>6.3196725705938626</v>
      </c>
      <c r="O119" s="286">
        <f>K119*'CRCP &amp; Evolutions'!I$73</f>
        <v>6.6658989373517308</v>
      </c>
      <c r="P119" s="286">
        <f>L119*'CRCP &amp; Evolutions'!J$73</f>
        <v>6.7888424149475908</v>
      </c>
      <c r="Q119" s="276">
        <f t="shared" si="13"/>
        <v>6.27</v>
      </c>
      <c r="R119" s="277">
        <f t="shared" si="19"/>
        <v>6.32</v>
      </c>
      <c r="S119" s="277">
        <f t="shared" si="20"/>
        <v>6.67</v>
      </c>
      <c r="T119" s="278">
        <f t="shared" si="21"/>
        <v>6.79</v>
      </c>
    </row>
    <row r="120" spans="2:20" ht="15" customHeight="1" x14ac:dyDescent="0.3">
      <c r="B120" s="470"/>
      <c r="C120" s="458"/>
      <c r="D120" s="458"/>
      <c r="E120" s="458"/>
      <c r="F120" s="256" t="s">
        <v>170</v>
      </c>
      <c r="G120" s="256" t="s">
        <v>174</v>
      </c>
      <c r="H120" s="284">
        <v>0</v>
      </c>
      <c r="I120" s="285">
        <v>4.29</v>
      </c>
      <c r="J120" s="414">
        <v>4.2300000000000004</v>
      </c>
      <c r="K120" s="414">
        <v>4.1900000000000004</v>
      </c>
      <c r="L120" s="414">
        <v>4.17</v>
      </c>
      <c r="M120" s="285">
        <v>4.29</v>
      </c>
      <c r="N120" s="286">
        <f>J120*'CRCP &amp; Evolutions'!H$73</f>
        <v>4.3256011284161886</v>
      </c>
      <c r="O120" s="286">
        <f>K120*'CRCP &amp; Evolutions'!I$73</f>
        <v>4.563744533905842</v>
      </c>
      <c r="P120" s="286">
        <f>L120*'CRCP &amp; Evolutions'!J$73</f>
        <v>4.640897191857615</v>
      </c>
      <c r="Q120" s="287">
        <f t="shared" si="13"/>
        <v>4.29</v>
      </c>
      <c r="R120" s="288">
        <f t="shared" si="19"/>
        <v>4.33</v>
      </c>
      <c r="S120" s="288">
        <f t="shared" si="20"/>
        <v>4.5599999999999996</v>
      </c>
      <c r="T120" s="289">
        <f t="shared" si="21"/>
        <v>4.6399999999999997</v>
      </c>
    </row>
    <row r="121" spans="2:20" ht="15" customHeight="1" x14ac:dyDescent="0.3">
      <c r="B121" s="470"/>
      <c r="C121" s="458"/>
      <c r="D121" s="458"/>
      <c r="E121" s="458"/>
      <c r="F121" s="256" t="s">
        <v>171</v>
      </c>
      <c r="G121" s="256" t="s">
        <v>174</v>
      </c>
      <c r="H121" s="284">
        <v>0</v>
      </c>
      <c r="I121" s="285">
        <v>1.34</v>
      </c>
      <c r="J121" s="414">
        <v>1.32</v>
      </c>
      <c r="K121" s="414">
        <v>1.31</v>
      </c>
      <c r="L121" s="414">
        <v>1.3</v>
      </c>
      <c r="M121" s="285">
        <v>1.34</v>
      </c>
      <c r="N121" s="286">
        <f>J121*'CRCP &amp; Evolutions'!H$73</f>
        <v>1.3498329762433494</v>
      </c>
      <c r="O121" s="286">
        <f>K121*'CRCP &amp; Evolutions'!I$73</f>
        <v>1.4268509163285568</v>
      </c>
      <c r="P121" s="286">
        <f>L121*'CRCP &amp; Evolutions'!J$73</f>
        <v>1.4468024818740768</v>
      </c>
      <c r="Q121" s="287">
        <f t="shared" si="13"/>
        <v>1.34</v>
      </c>
      <c r="R121" s="288">
        <f t="shared" si="19"/>
        <v>1.35</v>
      </c>
      <c r="S121" s="288">
        <f t="shared" si="20"/>
        <v>1.43</v>
      </c>
      <c r="T121" s="289">
        <f t="shared" si="21"/>
        <v>1.45</v>
      </c>
    </row>
    <row r="122" spans="2:20" ht="16.5" thickBot="1" x14ac:dyDescent="0.35">
      <c r="B122" s="461"/>
      <c r="C122" s="459"/>
      <c r="D122" s="459"/>
      <c r="E122" s="459"/>
      <c r="F122" s="327" t="s">
        <v>172</v>
      </c>
      <c r="G122" s="327" t="s">
        <v>174</v>
      </c>
      <c r="H122" s="295">
        <v>0</v>
      </c>
      <c r="I122" s="296">
        <v>0.83</v>
      </c>
      <c r="J122" s="413">
        <v>0.82</v>
      </c>
      <c r="K122" s="413">
        <v>0.81</v>
      </c>
      <c r="L122" s="413">
        <v>0.81</v>
      </c>
      <c r="M122" s="296">
        <v>0.83</v>
      </c>
      <c r="N122" s="297">
        <f>J122*'CRCP &amp; Evolutions'!H$73</f>
        <v>0.8385326064542018</v>
      </c>
      <c r="O122" s="297">
        <f>K122*'CRCP &amp; Evolutions'!I$73</f>
        <v>0.88225132994361144</v>
      </c>
      <c r="P122" s="297">
        <f>L122*'CRCP &amp; Evolutions'!J$73</f>
        <v>0.90146923870615558</v>
      </c>
      <c r="Q122" s="298">
        <f t="shared" si="13"/>
        <v>0.83</v>
      </c>
      <c r="R122" s="299">
        <f t="shared" si="19"/>
        <v>0.84</v>
      </c>
      <c r="S122" s="299">
        <f t="shared" si="20"/>
        <v>0.88</v>
      </c>
      <c r="T122" s="300">
        <f t="shared" si="21"/>
        <v>0.9</v>
      </c>
    </row>
    <row r="123" spans="2:20" ht="16.5" thickBot="1" x14ac:dyDescent="0.35">
      <c r="B123" s="453" t="s">
        <v>226</v>
      </c>
      <c r="C123" s="452"/>
      <c r="D123" s="452"/>
      <c r="E123" s="452"/>
      <c r="F123" s="318"/>
      <c r="G123" s="318" t="s">
        <v>181</v>
      </c>
      <c r="H123" s="320">
        <v>1</v>
      </c>
      <c r="I123" s="322">
        <v>10.35</v>
      </c>
      <c r="J123" s="411">
        <v>10.74</v>
      </c>
      <c r="K123" s="411">
        <v>11.19</v>
      </c>
      <c r="L123" s="411">
        <v>11.19</v>
      </c>
      <c r="M123" s="322">
        <v>10.35</v>
      </c>
      <c r="N123" s="321">
        <f>J123*'CRCP &amp; Evolutions'!H$73</f>
        <v>10.982731943070888</v>
      </c>
      <c r="O123" s="321">
        <f>K123*'CRCP &amp; Evolutions'!I$73</f>
        <v>12.188138743295076</v>
      </c>
      <c r="P123" s="321">
        <f>L123*'CRCP &amp; Evolutions'!J$73</f>
        <v>12.453630593977628</v>
      </c>
      <c r="Q123" s="323">
        <f>IF($H123=1,ROUND(M123/12,2)*12,ROUND(M123,2))</f>
        <v>10.32</v>
      </c>
      <c r="R123" s="324">
        <f t="shared" si="19"/>
        <v>11.040000000000001</v>
      </c>
      <c r="S123" s="324">
        <f t="shared" si="20"/>
        <v>12.24</v>
      </c>
      <c r="T123" s="325">
        <f t="shared" si="21"/>
        <v>12.48</v>
      </c>
    </row>
    <row r="124" spans="2:20" ht="15.75" customHeight="1" x14ac:dyDescent="0.3">
      <c r="B124" s="460" t="s">
        <v>227</v>
      </c>
      <c r="C124" s="457"/>
      <c r="D124" s="457"/>
      <c r="E124" s="457"/>
      <c r="F124" s="272" t="s">
        <v>167</v>
      </c>
      <c r="G124" s="272" t="s">
        <v>174</v>
      </c>
      <c r="H124" s="273">
        <v>0</v>
      </c>
      <c r="I124" s="274">
        <v>3.79</v>
      </c>
      <c r="J124" s="412">
        <v>3.93</v>
      </c>
      <c r="K124" s="412">
        <v>4.0999999999999996</v>
      </c>
      <c r="L124" s="412">
        <v>4.0999999999999996</v>
      </c>
      <c r="M124" s="274">
        <v>3.79</v>
      </c>
      <c r="N124" s="275">
        <f>J124*'CRCP &amp; Evolutions'!H$73</f>
        <v>4.0188209065426994</v>
      </c>
      <c r="O124" s="275">
        <f>K124*'CRCP &amp; Evolutions'!I$73</f>
        <v>4.4657166083565514</v>
      </c>
      <c r="P124" s="275">
        <f>L124*'CRCP &amp; Evolutions'!J$73</f>
        <v>4.5629924428336261</v>
      </c>
      <c r="Q124" s="276">
        <f t="shared" si="13"/>
        <v>3.79</v>
      </c>
      <c r="R124" s="277">
        <f t="shared" si="19"/>
        <v>4.0199999999999996</v>
      </c>
      <c r="S124" s="277">
        <f t="shared" si="20"/>
        <v>4.47</v>
      </c>
      <c r="T124" s="278">
        <f t="shared" si="21"/>
        <v>4.5599999999999996</v>
      </c>
    </row>
    <row r="125" spans="2:20" ht="16.5" thickBot="1" x14ac:dyDescent="0.35">
      <c r="B125" s="461"/>
      <c r="C125" s="459"/>
      <c r="D125" s="459"/>
      <c r="E125" s="459"/>
      <c r="F125" s="294" t="s">
        <v>182</v>
      </c>
      <c r="G125" s="294" t="s">
        <v>174</v>
      </c>
      <c r="H125" s="295">
        <v>0</v>
      </c>
      <c r="I125" s="296">
        <v>2.68</v>
      </c>
      <c r="J125" s="413">
        <v>2.78</v>
      </c>
      <c r="K125" s="413">
        <v>2.9</v>
      </c>
      <c r="L125" s="413">
        <v>2.9</v>
      </c>
      <c r="M125" s="296">
        <v>2.68</v>
      </c>
      <c r="N125" s="297">
        <f>J125*'CRCP &amp; Evolutions'!H$73</f>
        <v>2.84283005602766</v>
      </c>
      <c r="O125" s="297">
        <f>K125*'CRCP &amp; Evolutions'!I$73</f>
        <v>3.1586776010326827</v>
      </c>
      <c r="P125" s="297">
        <f>L125*'CRCP &amp; Evolutions'!J$73</f>
        <v>3.2274824595652478</v>
      </c>
      <c r="Q125" s="298">
        <f t="shared" si="13"/>
        <v>2.68</v>
      </c>
      <c r="R125" s="299">
        <f t="shared" si="19"/>
        <v>2.84</v>
      </c>
      <c r="S125" s="299">
        <f t="shared" si="20"/>
        <v>3.16</v>
      </c>
      <c r="T125" s="300">
        <f t="shared" si="21"/>
        <v>3.23</v>
      </c>
    </row>
    <row r="126" spans="2:20" ht="16.5" thickBot="1" x14ac:dyDescent="0.35">
      <c r="B126" s="453" t="s">
        <v>228</v>
      </c>
      <c r="C126" s="452"/>
      <c r="D126" s="452"/>
      <c r="E126" s="452"/>
      <c r="F126" s="318"/>
      <c r="G126" s="318" t="s">
        <v>181</v>
      </c>
      <c r="H126" s="320">
        <v>1</v>
      </c>
      <c r="I126" s="322">
        <v>9.92</v>
      </c>
      <c r="J126" s="411">
        <v>9.7799999999999994</v>
      </c>
      <c r="K126" s="411">
        <v>9.69</v>
      </c>
      <c r="L126" s="411">
        <v>9.66</v>
      </c>
      <c r="M126" s="322">
        <v>9.92</v>
      </c>
      <c r="N126" s="321">
        <f>J126*'CRCP &amp; Evolutions'!H$73</f>
        <v>10.001035233075724</v>
      </c>
      <c r="O126" s="321">
        <f>K126*'CRCP &amp; Evolutions'!I$73</f>
        <v>10.55433998414024</v>
      </c>
      <c r="P126" s="321">
        <f>L126*'CRCP &amp; Evolutions'!J$73</f>
        <v>10.750855365310446</v>
      </c>
      <c r="Q126" s="323">
        <f>IF($H126=1,ROUND(M126/12,2)*12,ROUND(M126,2))</f>
        <v>9.9599999999999991</v>
      </c>
      <c r="R126" s="324">
        <f t="shared" si="19"/>
        <v>9.9599999999999991</v>
      </c>
      <c r="S126" s="324">
        <f t="shared" si="20"/>
        <v>10.56</v>
      </c>
      <c r="T126" s="325">
        <f t="shared" si="21"/>
        <v>10.8</v>
      </c>
    </row>
    <row r="127" spans="2:20" ht="15.75" customHeight="1" x14ac:dyDescent="0.3">
      <c r="B127" s="460" t="s">
        <v>229</v>
      </c>
      <c r="C127" s="457"/>
      <c r="D127" s="457"/>
      <c r="E127" s="457"/>
      <c r="F127" s="326" t="s">
        <v>169</v>
      </c>
      <c r="G127" s="326" t="s">
        <v>174</v>
      </c>
      <c r="H127" s="273">
        <v>0</v>
      </c>
      <c r="I127" s="274">
        <v>5.75</v>
      </c>
      <c r="J127" s="412">
        <v>5.67</v>
      </c>
      <c r="K127" s="412">
        <v>5.62</v>
      </c>
      <c r="L127" s="412">
        <v>5.6</v>
      </c>
      <c r="M127" s="274">
        <v>5.75</v>
      </c>
      <c r="N127" s="275">
        <f>J127*'CRCP &amp; Evolutions'!H$73</f>
        <v>5.7981461934089324</v>
      </c>
      <c r="O127" s="275">
        <f>K127*'CRCP &amp; Evolutions'!I$73</f>
        <v>6.1212993509667859</v>
      </c>
      <c r="P127" s="275">
        <f>L127*'CRCP &amp; Evolutions'!J$73</f>
        <v>6.2323799219190992</v>
      </c>
      <c r="Q127" s="276">
        <f t="shared" si="13"/>
        <v>5.75</v>
      </c>
      <c r="R127" s="277">
        <f t="shared" si="19"/>
        <v>5.8</v>
      </c>
      <c r="S127" s="277">
        <f t="shared" si="20"/>
        <v>6.12</v>
      </c>
      <c r="T127" s="278">
        <f t="shared" si="21"/>
        <v>6.23</v>
      </c>
    </row>
    <row r="128" spans="2:20" x14ac:dyDescent="0.3">
      <c r="B128" s="470"/>
      <c r="C128" s="458"/>
      <c r="D128" s="458"/>
      <c r="E128" s="458"/>
      <c r="F128" s="256" t="s">
        <v>170</v>
      </c>
      <c r="G128" s="256" t="s">
        <v>174</v>
      </c>
      <c r="H128" s="284">
        <v>0</v>
      </c>
      <c r="I128" s="285">
        <v>3.99</v>
      </c>
      <c r="J128" s="414">
        <v>3.93</v>
      </c>
      <c r="K128" s="414">
        <v>3.89</v>
      </c>
      <c r="L128" s="414">
        <v>3.88</v>
      </c>
      <c r="M128" s="285">
        <v>3.99</v>
      </c>
      <c r="N128" s="286">
        <f>J128*'CRCP &amp; Evolutions'!H$73</f>
        <v>4.0188209065426994</v>
      </c>
      <c r="O128" s="286">
        <f>K128*'CRCP &amp; Evolutions'!I$73</f>
        <v>4.2369847820748747</v>
      </c>
      <c r="P128" s="286">
        <f>L128*'CRCP &amp; Evolutions'!J$73</f>
        <v>4.3181489459010907</v>
      </c>
      <c r="Q128" s="287">
        <f t="shared" si="13"/>
        <v>3.99</v>
      </c>
      <c r="R128" s="288">
        <f t="shared" si="19"/>
        <v>4.0199999999999996</v>
      </c>
      <c r="S128" s="288">
        <f t="shared" si="20"/>
        <v>4.24</v>
      </c>
      <c r="T128" s="289">
        <f t="shared" si="21"/>
        <v>4.32</v>
      </c>
    </row>
    <row r="129" spans="2:20" x14ac:dyDescent="0.3">
      <c r="B129" s="470"/>
      <c r="C129" s="458"/>
      <c r="D129" s="458"/>
      <c r="E129" s="458"/>
      <c r="F129" s="256" t="s">
        <v>171</v>
      </c>
      <c r="G129" s="256" t="s">
        <v>174</v>
      </c>
      <c r="H129" s="284">
        <v>0</v>
      </c>
      <c r="I129" s="285">
        <v>1.31</v>
      </c>
      <c r="J129" s="414">
        <v>1.29</v>
      </c>
      <c r="K129" s="414">
        <v>1.28</v>
      </c>
      <c r="L129" s="414">
        <v>1.28</v>
      </c>
      <c r="M129" s="285">
        <v>1.31</v>
      </c>
      <c r="N129" s="286">
        <f>J129*'CRCP &amp; Evolutions'!H$73</f>
        <v>1.3191549540560006</v>
      </c>
      <c r="O129" s="286">
        <f>K129*'CRCP &amp; Evolutions'!I$73</f>
        <v>1.39417494114546</v>
      </c>
      <c r="P129" s="286">
        <f>L129*'CRCP &amp; Evolutions'!J$73</f>
        <v>1.4245439821529371</v>
      </c>
      <c r="Q129" s="287">
        <f t="shared" si="13"/>
        <v>1.31</v>
      </c>
      <c r="R129" s="288">
        <f t="shared" si="19"/>
        <v>1.32</v>
      </c>
      <c r="S129" s="288">
        <f t="shared" si="20"/>
        <v>1.39</v>
      </c>
      <c r="T129" s="289">
        <f t="shared" si="21"/>
        <v>1.42</v>
      </c>
    </row>
    <row r="130" spans="2:20" ht="16.5" thickBot="1" x14ac:dyDescent="0.35">
      <c r="B130" s="461"/>
      <c r="C130" s="459"/>
      <c r="D130" s="459"/>
      <c r="E130" s="459"/>
      <c r="F130" s="327" t="s">
        <v>172</v>
      </c>
      <c r="G130" s="327" t="s">
        <v>174</v>
      </c>
      <c r="H130" s="295">
        <v>0</v>
      </c>
      <c r="I130" s="296">
        <v>0.82</v>
      </c>
      <c r="J130" s="413">
        <v>0.81</v>
      </c>
      <c r="K130" s="413">
        <v>0.8</v>
      </c>
      <c r="L130" s="413">
        <v>0.8</v>
      </c>
      <c r="M130" s="296">
        <v>0.82</v>
      </c>
      <c r="N130" s="297">
        <f>J130*'CRCP &amp; Evolutions'!H$73</f>
        <v>0.82830659905841897</v>
      </c>
      <c r="O130" s="297">
        <f>K130*'CRCP &amp; Evolutions'!I$73</f>
        <v>0.8713593382159126</v>
      </c>
      <c r="P130" s="297">
        <f>L130*'CRCP &amp; Evolutions'!J$73</f>
        <v>0.89033998884558574</v>
      </c>
      <c r="Q130" s="298">
        <f t="shared" si="13"/>
        <v>0.82</v>
      </c>
      <c r="R130" s="299">
        <f t="shared" si="19"/>
        <v>0.83</v>
      </c>
      <c r="S130" s="299">
        <f t="shared" si="20"/>
        <v>0.87</v>
      </c>
      <c r="T130" s="300">
        <f t="shared" si="21"/>
        <v>0.89</v>
      </c>
    </row>
    <row r="131" spans="2:20" ht="16.5" customHeight="1" thickBot="1" x14ac:dyDescent="0.35">
      <c r="B131" s="453" t="s">
        <v>230</v>
      </c>
      <c r="C131" s="452"/>
      <c r="D131" s="452"/>
      <c r="E131" s="452"/>
      <c r="F131" s="452"/>
      <c r="G131" s="318" t="s">
        <v>181</v>
      </c>
      <c r="H131" s="320">
        <v>1</v>
      </c>
      <c r="I131" s="322">
        <v>76.459999999999994</v>
      </c>
      <c r="J131" s="411">
        <v>75.36</v>
      </c>
      <c r="K131" s="411">
        <v>74.63</v>
      </c>
      <c r="L131" s="411">
        <v>74.400000000000006</v>
      </c>
      <c r="M131" s="322">
        <v>76.459999999999994</v>
      </c>
      <c r="N131" s="321">
        <f>J131*'CRCP &amp; Evolutions'!H$73</f>
        <v>77.063191734620304</v>
      </c>
      <c r="O131" s="321">
        <f>K131*'CRCP &amp; Evolutions'!I$73</f>
        <v>81.286934263816931</v>
      </c>
      <c r="P131" s="321">
        <f>L131*'CRCP &amp; Evolutions'!J$73</f>
        <v>82.801618962639481</v>
      </c>
      <c r="Q131" s="323">
        <f>IF($H131=1,ROUND(M131/12,2)*12,ROUND(M131,2))</f>
        <v>76.44</v>
      </c>
      <c r="R131" s="324">
        <f t="shared" si="19"/>
        <v>77.039999999999992</v>
      </c>
      <c r="S131" s="324">
        <f t="shared" si="20"/>
        <v>81.239999999999995</v>
      </c>
      <c r="T131" s="325">
        <f t="shared" si="21"/>
        <v>82.800000000000011</v>
      </c>
    </row>
    <row r="132" spans="2:20" ht="15.75" customHeight="1" thickBot="1" x14ac:dyDescent="0.35">
      <c r="B132" s="453" t="s">
        <v>231</v>
      </c>
      <c r="C132" s="452"/>
      <c r="D132" s="452"/>
      <c r="E132" s="452"/>
      <c r="F132" s="452"/>
      <c r="G132" s="318" t="s">
        <v>174</v>
      </c>
      <c r="H132" s="320">
        <v>0</v>
      </c>
      <c r="I132" s="322">
        <v>1.04</v>
      </c>
      <c r="J132" s="411">
        <v>1.02</v>
      </c>
      <c r="K132" s="411">
        <v>1.01</v>
      </c>
      <c r="L132" s="411">
        <v>1.01</v>
      </c>
      <c r="M132" s="322">
        <v>1.04</v>
      </c>
      <c r="N132" s="321">
        <f>J132*'CRCP &amp; Evolutions'!H$73</f>
        <v>1.0430527543698609</v>
      </c>
      <c r="O132" s="321">
        <f>K132*'CRCP &amp; Evolutions'!I$73</f>
        <v>1.1000911644975895</v>
      </c>
      <c r="P132" s="321">
        <f>L132*'CRCP &amp; Evolutions'!J$73</f>
        <v>1.1240542359175518</v>
      </c>
      <c r="Q132" s="323">
        <f t="shared" si="13"/>
        <v>1.04</v>
      </c>
      <c r="R132" s="324">
        <f t="shared" si="19"/>
        <v>1.04</v>
      </c>
      <c r="S132" s="324">
        <f t="shared" si="20"/>
        <v>1.1000000000000001</v>
      </c>
      <c r="T132" s="325">
        <f t="shared" si="21"/>
        <v>1.1200000000000001</v>
      </c>
    </row>
    <row r="133" spans="2:20" ht="15" customHeight="1" thickBot="1" x14ac:dyDescent="0.35">
      <c r="B133" s="454" t="s">
        <v>232</v>
      </c>
      <c r="C133" s="462" t="s">
        <v>175</v>
      </c>
      <c r="D133" s="463"/>
      <c r="E133" s="463"/>
      <c r="F133" s="319"/>
      <c r="G133" s="318" t="s">
        <v>176</v>
      </c>
      <c r="H133" s="320">
        <v>1</v>
      </c>
      <c r="I133" s="322">
        <v>8.42</v>
      </c>
      <c r="J133" s="411">
        <v>8.32</v>
      </c>
      <c r="K133" s="411">
        <v>8.25</v>
      </c>
      <c r="L133" s="411">
        <v>8.24</v>
      </c>
      <c r="M133" s="322">
        <v>8.42</v>
      </c>
      <c r="N133" s="321">
        <f>J133*'CRCP &amp; Evolutions'!H$73</f>
        <v>8.5080381532914142</v>
      </c>
      <c r="O133" s="321">
        <f>K133*'CRCP &amp; Evolutions'!I$73</f>
        <v>8.9858931753515972</v>
      </c>
      <c r="P133" s="321">
        <f>L133*'CRCP &amp; Evolutions'!J$73</f>
        <v>9.1705018851095321</v>
      </c>
      <c r="Q133" s="323">
        <f>IF($H133=1,ROUND(M133/12,2)*12,ROUND(M133,2))</f>
        <v>8.3999999999999986</v>
      </c>
      <c r="R133" s="324">
        <f t="shared" si="19"/>
        <v>8.52</v>
      </c>
      <c r="S133" s="324">
        <f t="shared" si="20"/>
        <v>9</v>
      </c>
      <c r="T133" s="325">
        <f t="shared" si="21"/>
        <v>9.120000000000001</v>
      </c>
    </row>
    <row r="134" spans="2:20" ht="15.75" customHeight="1" x14ac:dyDescent="0.3">
      <c r="B134" s="455"/>
      <c r="C134" s="464" t="s">
        <v>177</v>
      </c>
      <c r="D134" s="465"/>
      <c r="E134" s="465"/>
      <c r="F134" s="283" t="s">
        <v>169</v>
      </c>
      <c r="G134" s="256" t="s">
        <v>174</v>
      </c>
      <c r="H134" s="284">
        <v>0</v>
      </c>
      <c r="I134" s="285">
        <v>6.81</v>
      </c>
      <c r="J134" s="275">
        <v>6.71</v>
      </c>
      <c r="K134" s="275">
        <v>6.64</v>
      </c>
      <c r="L134" s="275">
        <v>6.62</v>
      </c>
      <c r="M134" s="285">
        <v>6.81</v>
      </c>
      <c r="N134" s="275">
        <f>J134*'CRCP &amp; Evolutions'!H$73</f>
        <v>6.8616509625703594</v>
      </c>
      <c r="O134" s="275">
        <f>K134*'CRCP &amp; Evolutions'!I$73</f>
        <v>7.2322825071920738</v>
      </c>
      <c r="P134" s="275">
        <f>L134*'CRCP &amp; Evolutions'!J$73</f>
        <v>7.3675634076972214</v>
      </c>
      <c r="Q134" s="276">
        <f t="shared" si="13"/>
        <v>6.81</v>
      </c>
      <c r="R134" s="277">
        <f t="shared" si="19"/>
        <v>6.86</v>
      </c>
      <c r="S134" s="277">
        <f t="shared" si="20"/>
        <v>7.23</v>
      </c>
      <c r="T134" s="278">
        <f t="shared" si="21"/>
        <v>7.37</v>
      </c>
    </row>
    <row r="135" spans="2:20" x14ac:dyDescent="0.3">
      <c r="B135" s="455"/>
      <c r="C135" s="466"/>
      <c r="D135" s="467"/>
      <c r="E135" s="467"/>
      <c r="F135" s="283" t="s">
        <v>170</v>
      </c>
      <c r="G135" s="256" t="s">
        <v>174</v>
      </c>
      <c r="H135" s="284">
        <v>0</v>
      </c>
      <c r="I135" s="285">
        <v>4.16</v>
      </c>
      <c r="J135" s="286">
        <v>4.0999999999999996</v>
      </c>
      <c r="K135" s="286">
        <v>4.0599999999999996</v>
      </c>
      <c r="L135" s="286">
        <v>4.05</v>
      </c>
      <c r="M135" s="285">
        <v>4.16</v>
      </c>
      <c r="N135" s="286">
        <f>J135*'CRCP &amp; Evolutions'!H$73</f>
        <v>4.1926630322710094</v>
      </c>
      <c r="O135" s="286">
        <f>K135*'CRCP &amp; Evolutions'!I$73</f>
        <v>4.422148641445756</v>
      </c>
      <c r="P135" s="286">
        <f>L135*'CRCP &amp; Evolutions'!J$73</f>
        <v>4.5073461935307773</v>
      </c>
      <c r="Q135" s="287">
        <f t="shared" si="13"/>
        <v>4.16</v>
      </c>
      <c r="R135" s="288">
        <f t="shared" si="19"/>
        <v>4.1900000000000004</v>
      </c>
      <c r="S135" s="288">
        <f t="shared" si="20"/>
        <v>4.42</v>
      </c>
      <c r="T135" s="289">
        <f t="shared" si="21"/>
        <v>4.51</v>
      </c>
    </row>
    <row r="136" spans="2:20" x14ac:dyDescent="0.3">
      <c r="B136" s="455"/>
      <c r="C136" s="466"/>
      <c r="D136" s="467"/>
      <c r="E136" s="467"/>
      <c r="F136" s="283" t="s">
        <v>171</v>
      </c>
      <c r="G136" s="256" t="s">
        <v>174</v>
      </c>
      <c r="H136" s="284">
        <v>0</v>
      </c>
      <c r="I136" s="285">
        <v>2.15</v>
      </c>
      <c r="J136" s="286">
        <v>2.12</v>
      </c>
      <c r="K136" s="286">
        <v>2.1</v>
      </c>
      <c r="L136" s="286">
        <v>2.09</v>
      </c>
      <c r="M136" s="285">
        <v>2.15</v>
      </c>
      <c r="N136" s="286">
        <f>J136*'CRCP &amp; Evolutions'!H$73</f>
        <v>2.1679135679059853</v>
      </c>
      <c r="O136" s="286">
        <f>K136*'CRCP &amp; Evolutions'!I$73</f>
        <v>2.2873182628167705</v>
      </c>
      <c r="P136" s="286">
        <f>L136*'CRCP &amp; Evolutions'!J$73</f>
        <v>2.3260132208590925</v>
      </c>
      <c r="Q136" s="287">
        <f t="shared" si="13"/>
        <v>2.15</v>
      </c>
      <c r="R136" s="288">
        <f t="shared" si="19"/>
        <v>2.17</v>
      </c>
      <c r="S136" s="288">
        <f t="shared" si="20"/>
        <v>2.29</v>
      </c>
      <c r="T136" s="289">
        <f t="shared" si="21"/>
        <v>2.33</v>
      </c>
    </row>
    <row r="137" spans="2:20" ht="16.5" thickBot="1" x14ac:dyDescent="0.35">
      <c r="B137" s="455"/>
      <c r="C137" s="468"/>
      <c r="D137" s="469"/>
      <c r="E137" s="469"/>
      <c r="F137" s="294" t="s">
        <v>172</v>
      </c>
      <c r="G137" s="327" t="s">
        <v>174</v>
      </c>
      <c r="H137" s="295">
        <v>0</v>
      </c>
      <c r="I137" s="296">
        <v>0.81</v>
      </c>
      <c r="J137" s="297">
        <v>0.8</v>
      </c>
      <c r="K137" s="297">
        <v>0.79</v>
      </c>
      <c r="L137" s="297">
        <v>0.79</v>
      </c>
      <c r="M137" s="296">
        <v>0.81</v>
      </c>
      <c r="N137" s="297">
        <f>J137*'CRCP &amp; Evolutions'!H$73</f>
        <v>0.81808059166263603</v>
      </c>
      <c r="O137" s="297">
        <f>K137*'CRCP &amp; Evolutions'!I$73</f>
        <v>0.86046734648821366</v>
      </c>
      <c r="P137" s="297">
        <f>L137*'CRCP &amp; Evolutions'!J$73</f>
        <v>0.87921073898501589</v>
      </c>
      <c r="Q137" s="298">
        <f t="shared" si="13"/>
        <v>0.81</v>
      </c>
      <c r="R137" s="299">
        <f t="shared" si="19"/>
        <v>0.82</v>
      </c>
      <c r="S137" s="299">
        <f t="shared" si="20"/>
        <v>0.86</v>
      </c>
      <c r="T137" s="300">
        <f t="shared" si="21"/>
        <v>0.88</v>
      </c>
    </row>
    <row r="138" spans="2:20" ht="15.75" customHeight="1" x14ac:dyDescent="0.3">
      <c r="B138" s="455"/>
      <c r="C138" s="464" t="s">
        <v>178</v>
      </c>
      <c r="D138" s="465"/>
      <c r="E138" s="465"/>
      <c r="F138" s="283" t="s">
        <v>169</v>
      </c>
      <c r="G138" s="256" t="s">
        <v>174</v>
      </c>
      <c r="H138" s="284">
        <v>0</v>
      </c>
      <c r="I138" s="285">
        <v>1.55</v>
      </c>
      <c r="J138" s="275">
        <v>1.53</v>
      </c>
      <c r="K138" s="275">
        <v>1.51</v>
      </c>
      <c r="L138" s="275">
        <v>1.51</v>
      </c>
      <c r="M138" s="285">
        <v>1.55</v>
      </c>
      <c r="N138" s="275">
        <f>J138*'CRCP &amp; Evolutions'!H$73</f>
        <v>1.5645791315547914</v>
      </c>
      <c r="O138" s="275">
        <f>K138*'CRCP &amp; Evolutions'!I$73</f>
        <v>1.6446907508825348</v>
      </c>
      <c r="P138" s="275">
        <f>L138*'CRCP &amp; Evolutions'!J$73</f>
        <v>1.680516728946043</v>
      </c>
      <c r="Q138" s="276">
        <f t="shared" si="13"/>
        <v>1.55</v>
      </c>
      <c r="R138" s="277">
        <f t="shared" si="19"/>
        <v>1.56</v>
      </c>
      <c r="S138" s="277">
        <f t="shared" si="20"/>
        <v>1.64</v>
      </c>
      <c r="T138" s="278">
        <f t="shared" si="21"/>
        <v>1.68</v>
      </c>
    </row>
    <row r="139" spans="2:20" x14ac:dyDescent="0.3">
      <c r="B139" s="455"/>
      <c r="C139" s="466"/>
      <c r="D139" s="467"/>
      <c r="E139" s="467"/>
      <c r="F139" s="283" t="s">
        <v>170</v>
      </c>
      <c r="G139" s="256" t="s">
        <v>174</v>
      </c>
      <c r="H139" s="284">
        <v>0</v>
      </c>
      <c r="I139" s="285">
        <v>1.21</v>
      </c>
      <c r="J139" s="286">
        <v>1.19</v>
      </c>
      <c r="K139" s="286">
        <v>1.18</v>
      </c>
      <c r="L139" s="286">
        <v>1.17</v>
      </c>
      <c r="M139" s="285">
        <v>1.21</v>
      </c>
      <c r="N139" s="286">
        <f>J139*'CRCP &amp; Evolutions'!H$73</f>
        <v>1.2168948800981709</v>
      </c>
      <c r="O139" s="286">
        <f>K139*'CRCP &amp; Evolutions'!I$73</f>
        <v>1.2852550238684708</v>
      </c>
      <c r="P139" s="286">
        <f>L139*'CRCP &amp; Evolutions'!J$73</f>
        <v>1.3021222336866689</v>
      </c>
      <c r="Q139" s="287">
        <f t="shared" si="13"/>
        <v>1.21</v>
      </c>
      <c r="R139" s="288">
        <f t="shared" si="19"/>
        <v>1.22</v>
      </c>
      <c r="S139" s="288">
        <f t="shared" si="20"/>
        <v>1.29</v>
      </c>
      <c r="T139" s="289">
        <f t="shared" si="21"/>
        <v>1.3</v>
      </c>
    </row>
    <row r="140" spans="2:20" x14ac:dyDescent="0.3">
      <c r="B140" s="455"/>
      <c r="C140" s="466"/>
      <c r="D140" s="467"/>
      <c r="E140" s="467"/>
      <c r="F140" s="283" t="s">
        <v>171</v>
      </c>
      <c r="G140" s="256" t="s">
        <v>174</v>
      </c>
      <c r="H140" s="284">
        <v>0</v>
      </c>
      <c r="I140" s="285">
        <v>0.73</v>
      </c>
      <c r="J140" s="286">
        <v>0.72</v>
      </c>
      <c r="K140" s="286">
        <v>0.71</v>
      </c>
      <c r="L140" s="286">
        <v>0.71</v>
      </c>
      <c r="M140" s="285">
        <v>0.73</v>
      </c>
      <c r="N140" s="286">
        <f>J140*'CRCP &amp; Evolutions'!H$73</f>
        <v>0.73627253249637237</v>
      </c>
      <c r="O140" s="286">
        <f>K140*'CRCP &amp; Evolutions'!I$73</f>
        <v>0.77333141266662231</v>
      </c>
      <c r="P140" s="286">
        <f>L140*'CRCP &amp; Evolutions'!J$73</f>
        <v>0.79017674010045724</v>
      </c>
      <c r="Q140" s="287">
        <f t="shared" si="13"/>
        <v>0.73</v>
      </c>
      <c r="R140" s="288">
        <f t="shared" si="19"/>
        <v>0.74</v>
      </c>
      <c r="S140" s="288">
        <f t="shared" si="20"/>
        <v>0.77</v>
      </c>
      <c r="T140" s="289">
        <f t="shared" si="21"/>
        <v>0.79</v>
      </c>
    </row>
    <row r="141" spans="2:20" ht="16.5" thickBot="1" x14ac:dyDescent="0.35">
      <c r="B141" s="456"/>
      <c r="C141" s="468"/>
      <c r="D141" s="469"/>
      <c r="E141" s="469"/>
      <c r="F141" s="294" t="s">
        <v>172</v>
      </c>
      <c r="G141" s="327" t="s">
        <v>174</v>
      </c>
      <c r="H141" s="295">
        <v>0</v>
      </c>
      <c r="I141" s="296">
        <v>0.35</v>
      </c>
      <c r="J141" s="297">
        <v>0.35</v>
      </c>
      <c r="K141" s="297">
        <v>0.34</v>
      </c>
      <c r="L141" s="297">
        <v>0.34</v>
      </c>
      <c r="M141" s="296">
        <v>0.35</v>
      </c>
      <c r="N141" s="297">
        <f>J141*'CRCP &amp; Evolutions'!H$73</f>
        <v>0.35791025885240324</v>
      </c>
      <c r="O141" s="297">
        <f>K141*'CRCP &amp; Evolutions'!I$73</f>
        <v>0.37032771874176285</v>
      </c>
      <c r="P141" s="297">
        <f>L141*'CRCP &amp; Evolutions'!J$73</f>
        <v>0.37839449525937396</v>
      </c>
      <c r="Q141" s="298">
        <f t="shared" si="13"/>
        <v>0.35</v>
      </c>
      <c r="R141" s="299">
        <f t="shared" si="19"/>
        <v>0.36</v>
      </c>
      <c r="S141" s="299">
        <f t="shared" si="20"/>
        <v>0.37</v>
      </c>
      <c r="T141" s="300">
        <f t="shared" si="21"/>
        <v>0.38</v>
      </c>
    </row>
    <row r="142" spans="2:20" ht="15" customHeight="1" thickBot="1" x14ac:dyDescent="0.35">
      <c r="B142" s="454" t="s">
        <v>233</v>
      </c>
      <c r="C142" s="462" t="s">
        <v>175</v>
      </c>
      <c r="D142" s="463"/>
      <c r="E142" s="463"/>
      <c r="F142" s="319" t="s">
        <v>169</v>
      </c>
      <c r="G142" s="318" t="s">
        <v>176</v>
      </c>
      <c r="H142" s="320">
        <v>1</v>
      </c>
      <c r="I142" s="322">
        <v>9.9600000000000009</v>
      </c>
      <c r="J142" s="321">
        <v>9.83</v>
      </c>
      <c r="K142" s="321">
        <v>9.76</v>
      </c>
      <c r="L142" s="321">
        <v>9.74</v>
      </c>
      <c r="M142" s="322">
        <v>9.9600000000000009</v>
      </c>
      <c r="N142" s="321">
        <f>J142*'CRCP &amp; Evolutions'!H$73</f>
        <v>10.05216527005464</v>
      </c>
      <c r="O142" s="321">
        <f>K142*'CRCP &amp; Evolutions'!I$73</f>
        <v>10.630583926234133</v>
      </c>
      <c r="P142" s="321">
        <f>L142*'CRCP &amp; Evolutions'!J$73</f>
        <v>10.839889364195006</v>
      </c>
      <c r="Q142" s="323">
        <f>IF($H142=1,ROUND(M142/12,2)*12,ROUND(M142,2))</f>
        <v>9.9599999999999991</v>
      </c>
      <c r="R142" s="324">
        <f t="shared" si="19"/>
        <v>10.08</v>
      </c>
      <c r="S142" s="324">
        <f t="shared" si="20"/>
        <v>10.68</v>
      </c>
      <c r="T142" s="325">
        <f t="shared" si="21"/>
        <v>10.8</v>
      </c>
    </row>
    <row r="143" spans="2:20" ht="15.75" customHeight="1" x14ac:dyDescent="0.3">
      <c r="B143" s="455"/>
      <c r="C143" s="464" t="s">
        <v>177</v>
      </c>
      <c r="D143" s="465"/>
      <c r="E143" s="465"/>
      <c r="F143" s="283" t="s">
        <v>169</v>
      </c>
      <c r="G143" s="256" t="s">
        <v>174</v>
      </c>
      <c r="H143" s="284">
        <v>0</v>
      </c>
      <c r="I143" s="285">
        <v>6.21</v>
      </c>
      <c r="J143" s="275">
        <v>6.12</v>
      </c>
      <c r="K143" s="275">
        <v>6.06</v>
      </c>
      <c r="L143" s="275">
        <v>6.03</v>
      </c>
      <c r="M143" s="285">
        <v>6.21</v>
      </c>
      <c r="N143" s="275">
        <f>J143*'CRCP &amp; Evolutions'!H$73</f>
        <v>6.2583165262191658</v>
      </c>
      <c r="O143" s="275">
        <f>K143*'CRCP &amp; Evolutions'!I$73</f>
        <v>6.6005469869855373</v>
      </c>
      <c r="P143" s="275">
        <f>L143*'CRCP &amp; Evolutions'!J$73</f>
        <v>6.710937665923602</v>
      </c>
      <c r="Q143" s="276">
        <f t="shared" si="13"/>
        <v>6.21</v>
      </c>
      <c r="R143" s="277">
        <f t="shared" si="19"/>
        <v>6.26</v>
      </c>
      <c r="S143" s="277">
        <f t="shared" si="20"/>
        <v>6.6</v>
      </c>
      <c r="T143" s="278">
        <f t="shared" si="21"/>
        <v>6.71</v>
      </c>
    </row>
    <row r="144" spans="2:20" x14ac:dyDescent="0.3">
      <c r="B144" s="455"/>
      <c r="C144" s="466"/>
      <c r="D144" s="467"/>
      <c r="E144" s="467"/>
      <c r="F144" s="283" t="s">
        <v>170</v>
      </c>
      <c r="G144" s="256" t="s">
        <v>174</v>
      </c>
      <c r="H144" s="284">
        <v>0</v>
      </c>
      <c r="I144" s="285">
        <v>3.98</v>
      </c>
      <c r="J144" s="286">
        <v>3.92</v>
      </c>
      <c r="K144" s="286">
        <v>3.88</v>
      </c>
      <c r="L144" s="286">
        <v>3.86</v>
      </c>
      <c r="M144" s="285">
        <v>3.98</v>
      </c>
      <c r="N144" s="286">
        <f>J144*'CRCP &amp; Evolutions'!H$73</f>
        <v>4.0085948991469165</v>
      </c>
      <c r="O144" s="286">
        <f>K144*'CRCP &amp; Evolutions'!I$73</f>
        <v>4.2260927903471757</v>
      </c>
      <c r="P144" s="286">
        <f>L144*'CRCP &amp; Evolutions'!J$73</f>
        <v>4.2958904461799508</v>
      </c>
      <c r="Q144" s="287">
        <f t="shared" si="13"/>
        <v>3.98</v>
      </c>
      <c r="R144" s="288">
        <f t="shared" si="19"/>
        <v>4.01</v>
      </c>
      <c r="S144" s="288">
        <f t="shared" si="20"/>
        <v>4.2300000000000004</v>
      </c>
      <c r="T144" s="289">
        <f t="shared" si="21"/>
        <v>4.3</v>
      </c>
    </row>
    <row r="145" spans="2:20" x14ac:dyDescent="0.3">
      <c r="B145" s="455"/>
      <c r="C145" s="466"/>
      <c r="D145" s="467"/>
      <c r="E145" s="467"/>
      <c r="F145" s="283" t="s">
        <v>171</v>
      </c>
      <c r="G145" s="256" t="s">
        <v>174</v>
      </c>
      <c r="H145" s="284">
        <v>0</v>
      </c>
      <c r="I145" s="285">
        <v>2.09</v>
      </c>
      <c r="J145" s="286">
        <v>2.06</v>
      </c>
      <c r="K145" s="286">
        <v>2.04</v>
      </c>
      <c r="L145" s="286">
        <v>2.0299999999999998</v>
      </c>
      <c r="M145" s="285">
        <v>2.09</v>
      </c>
      <c r="N145" s="286">
        <f>J145*'CRCP &amp; Evolutions'!H$73</f>
        <v>2.1065575235312877</v>
      </c>
      <c r="O145" s="286">
        <f>K145*'CRCP &amp; Evolutions'!I$73</f>
        <v>2.2219663124505771</v>
      </c>
      <c r="P145" s="286">
        <f>L145*'CRCP &amp; Evolutions'!J$73</f>
        <v>2.2592377216956736</v>
      </c>
      <c r="Q145" s="287">
        <f t="shared" si="13"/>
        <v>2.09</v>
      </c>
      <c r="R145" s="288">
        <f t="shared" si="19"/>
        <v>2.11</v>
      </c>
      <c r="S145" s="288">
        <f t="shared" si="20"/>
        <v>2.2200000000000002</v>
      </c>
      <c r="T145" s="289">
        <f t="shared" si="21"/>
        <v>2.2599999999999998</v>
      </c>
    </row>
    <row r="146" spans="2:20" ht="16.5" thickBot="1" x14ac:dyDescent="0.35">
      <c r="B146" s="455"/>
      <c r="C146" s="468"/>
      <c r="D146" s="469"/>
      <c r="E146" s="469"/>
      <c r="F146" s="294" t="s">
        <v>172</v>
      </c>
      <c r="G146" s="327" t="s">
        <v>174</v>
      </c>
      <c r="H146" s="295">
        <v>0</v>
      </c>
      <c r="I146" s="296">
        <v>0.81</v>
      </c>
      <c r="J146" s="297">
        <v>0.8</v>
      </c>
      <c r="K146" s="297">
        <v>0.79</v>
      </c>
      <c r="L146" s="297">
        <v>0.79</v>
      </c>
      <c r="M146" s="296">
        <v>0.81</v>
      </c>
      <c r="N146" s="297">
        <f>J146*'CRCP &amp; Evolutions'!H$73</f>
        <v>0.81808059166263603</v>
      </c>
      <c r="O146" s="297">
        <f>K146*'CRCP &amp; Evolutions'!I$73</f>
        <v>0.86046734648821366</v>
      </c>
      <c r="P146" s="297">
        <f>L146*'CRCP &amp; Evolutions'!J$73</f>
        <v>0.87921073898501589</v>
      </c>
      <c r="Q146" s="298">
        <f t="shared" si="13"/>
        <v>0.81</v>
      </c>
      <c r="R146" s="299">
        <f t="shared" si="19"/>
        <v>0.82</v>
      </c>
      <c r="S146" s="299">
        <f t="shared" si="20"/>
        <v>0.86</v>
      </c>
      <c r="T146" s="300">
        <f t="shared" si="21"/>
        <v>0.88</v>
      </c>
    </row>
    <row r="147" spans="2:20" ht="15.75" customHeight="1" x14ac:dyDescent="0.3">
      <c r="B147" s="455"/>
      <c r="C147" s="464" t="s">
        <v>178</v>
      </c>
      <c r="D147" s="465"/>
      <c r="E147" s="465"/>
      <c r="F147" s="283" t="s">
        <v>169</v>
      </c>
      <c r="G147" s="256" t="s">
        <v>174</v>
      </c>
      <c r="H147" s="284">
        <v>0</v>
      </c>
      <c r="I147" s="285">
        <v>1.55</v>
      </c>
      <c r="J147" s="275">
        <v>1.53</v>
      </c>
      <c r="K147" s="275">
        <v>1.51</v>
      </c>
      <c r="L147" s="275">
        <v>1.51</v>
      </c>
      <c r="M147" s="285">
        <v>1.55</v>
      </c>
      <c r="N147" s="275">
        <f>J147*'CRCP &amp; Evolutions'!H$73</f>
        <v>1.5645791315547914</v>
      </c>
      <c r="O147" s="275">
        <f>K147*'CRCP &amp; Evolutions'!I$73</f>
        <v>1.6446907508825348</v>
      </c>
      <c r="P147" s="275">
        <f>L147*'CRCP &amp; Evolutions'!J$73</f>
        <v>1.680516728946043</v>
      </c>
      <c r="Q147" s="276">
        <f t="shared" si="13"/>
        <v>1.55</v>
      </c>
      <c r="R147" s="277">
        <f t="shared" si="19"/>
        <v>1.56</v>
      </c>
      <c r="S147" s="277">
        <f t="shared" si="20"/>
        <v>1.64</v>
      </c>
      <c r="T147" s="278">
        <f t="shared" si="21"/>
        <v>1.68</v>
      </c>
    </row>
    <row r="148" spans="2:20" x14ac:dyDescent="0.3">
      <c r="B148" s="455"/>
      <c r="C148" s="466"/>
      <c r="D148" s="467"/>
      <c r="E148" s="467"/>
      <c r="F148" s="283" t="s">
        <v>170</v>
      </c>
      <c r="G148" s="256" t="s">
        <v>174</v>
      </c>
      <c r="H148" s="284">
        <v>0</v>
      </c>
      <c r="I148" s="285">
        <v>1.21</v>
      </c>
      <c r="J148" s="286">
        <v>1.19</v>
      </c>
      <c r="K148" s="286">
        <v>1.18</v>
      </c>
      <c r="L148" s="286">
        <v>1.17</v>
      </c>
      <c r="M148" s="285">
        <v>1.21</v>
      </c>
      <c r="N148" s="286">
        <f>J148*'CRCP &amp; Evolutions'!H$73</f>
        <v>1.2168948800981709</v>
      </c>
      <c r="O148" s="286">
        <f>K148*'CRCP &amp; Evolutions'!I$73</f>
        <v>1.2852550238684708</v>
      </c>
      <c r="P148" s="286">
        <f>L148*'CRCP &amp; Evolutions'!J$73</f>
        <v>1.3021222336866689</v>
      </c>
      <c r="Q148" s="287">
        <f t="shared" si="13"/>
        <v>1.21</v>
      </c>
      <c r="R148" s="288">
        <f t="shared" si="19"/>
        <v>1.22</v>
      </c>
      <c r="S148" s="288">
        <f t="shared" si="20"/>
        <v>1.29</v>
      </c>
      <c r="T148" s="289">
        <f t="shared" si="21"/>
        <v>1.3</v>
      </c>
    </row>
    <row r="149" spans="2:20" x14ac:dyDescent="0.3">
      <c r="B149" s="455"/>
      <c r="C149" s="466"/>
      <c r="D149" s="467"/>
      <c r="E149" s="467"/>
      <c r="F149" s="283" t="s">
        <v>171</v>
      </c>
      <c r="G149" s="256" t="s">
        <v>174</v>
      </c>
      <c r="H149" s="284">
        <v>0</v>
      </c>
      <c r="I149" s="285">
        <v>0.73</v>
      </c>
      <c r="J149" s="286">
        <v>0.72</v>
      </c>
      <c r="K149" s="286">
        <v>0.71</v>
      </c>
      <c r="L149" s="286">
        <v>0.71</v>
      </c>
      <c r="M149" s="285">
        <v>0.73</v>
      </c>
      <c r="N149" s="286">
        <f>J149*'CRCP &amp; Evolutions'!H$73</f>
        <v>0.73627253249637237</v>
      </c>
      <c r="O149" s="286">
        <f>K149*'CRCP &amp; Evolutions'!I$73</f>
        <v>0.77333141266662231</v>
      </c>
      <c r="P149" s="286">
        <f>L149*'CRCP &amp; Evolutions'!J$73</f>
        <v>0.79017674010045724</v>
      </c>
      <c r="Q149" s="287">
        <f t="shared" si="13"/>
        <v>0.73</v>
      </c>
      <c r="R149" s="288">
        <f t="shared" si="19"/>
        <v>0.74</v>
      </c>
      <c r="S149" s="288">
        <f t="shared" si="20"/>
        <v>0.77</v>
      </c>
      <c r="T149" s="289">
        <f t="shared" si="21"/>
        <v>0.79</v>
      </c>
    </row>
    <row r="150" spans="2:20" ht="16.5" thickBot="1" x14ac:dyDescent="0.35">
      <c r="B150" s="456"/>
      <c r="C150" s="468"/>
      <c r="D150" s="469"/>
      <c r="E150" s="469"/>
      <c r="F150" s="294" t="s">
        <v>172</v>
      </c>
      <c r="G150" s="327" t="s">
        <v>174</v>
      </c>
      <c r="H150" s="295">
        <v>0</v>
      </c>
      <c r="I150" s="296">
        <v>0.35</v>
      </c>
      <c r="J150" s="297">
        <v>0.35</v>
      </c>
      <c r="K150" s="297">
        <v>0.34</v>
      </c>
      <c r="L150" s="297">
        <v>0.34</v>
      </c>
      <c r="M150" s="296">
        <v>0.35</v>
      </c>
      <c r="N150" s="297">
        <f>J150*'CRCP &amp; Evolutions'!H$73</f>
        <v>0.35791025885240324</v>
      </c>
      <c r="O150" s="297">
        <f>K150*'CRCP &amp; Evolutions'!I$73</f>
        <v>0.37032771874176285</v>
      </c>
      <c r="P150" s="297">
        <f>L150*'CRCP &amp; Evolutions'!J$73</f>
        <v>0.37839449525937396</v>
      </c>
      <c r="Q150" s="298">
        <f t="shared" si="13"/>
        <v>0.35</v>
      </c>
      <c r="R150" s="299">
        <f t="shared" si="19"/>
        <v>0.36</v>
      </c>
      <c r="S150" s="299">
        <f t="shared" si="20"/>
        <v>0.37</v>
      </c>
      <c r="T150" s="300">
        <f t="shared" si="21"/>
        <v>0.38</v>
      </c>
    </row>
    <row r="151" spans="2:20" ht="15" customHeight="1" x14ac:dyDescent="0.3">
      <c r="B151" s="454" t="s">
        <v>234</v>
      </c>
      <c r="C151" s="457" t="s">
        <v>9</v>
      </c>
      <c r="D151" s="457"/>
      <c r="E151" s="457"/>
      <c r="F151" s="326"/>
      <c r="G151" s="326" t="s">
        <v>183</v>
      </c>
      <c r="H151" s="273">
        <v>0</v>
      </c>
      <c r="I151" s="274">
        <v>3355.09</v>
      </c>
      <c r="J151" s="275">
        <v>3355.09</v>
      </c>
      <c r="K151" s="275">
        <v>3355.09</v>
      </c>
      <c r="L151" s="275">
        <v>3355.09</v>
      </c>
      <c r="M151" s="274">
        <v>3355.09</v>
      </c>
      <c r="N151" s="275">
        <f>J151*'CRCP &amp; Evolutions'!H$73</f>
        <v>3430.9175153517417</v>
      </c>
      <c r="O151" s="275">
        <f>K151*'CRCP &amp; Evolutions'!I$73</f>
        <v>3654.3612525685326</v>
      </c>
      <c r="P151" s="275">
        <f>L151*'CRCP &amp; Evolutions'!J$73</f>
        <v>3733.9634914699204</v>
      </c>
      <c r="Q151" s="276">
        <f t="shared" si="13"/>
        <v>3355.09</v>
      </c>
      <c r="R151" s="277">
        <f t="shared" si="19"/>
        <v>3430.92</v>
      </c>
      <c r="S151" s="277">
        <f t="shared" si="20"/>
        <v>3654.36</v>
      </c>
      <c r="T151" s="278">
        <f t="shared" si="21"/>
        <v>3733.96</v>
      </c>
    </row>
    <row r="152" spans="2:20" ht="15" customHeight="1" x14ac:dyDescent="0.3">
      <c r="B152" s="455"/>
      <c r="C152" s="458" t="s">
        <v>184</v>
      </c>
      <c r="D152" s="458"/>
      <c r="E152" s="458"/>
      <c r="G152" s="256" t="s">
        <v>185</v>
      </c>
      <c r="H152" s="284">
        <v>0</v>
      </c>
      <c r="I152" s="285">
        <v>915.22</v>
      </c>
      <c r="J152" s="286">
        <v>915.22</v>
      </c>
      <c r="K152" s="286">
        <v>915.22</v>
      </c>
      <c r="L152" s="286">
        <v>915.22</v>
      </c>
      <c r="M152" s="285">
        <v>915.22</v>
      </c>
      <c r="N152" s="286">
        <f>J152*'CRCP &amp; Evolutions'!H$73</f>
        <v>935.9046488768472</v>
      </c>
      <c r="O152" s="286">
        <f>K152*'CRCP &amp; Evolutions'!I$73</f>
        <v>996.85686690245939</v>
      </c>
      <c r="P152" s="286">
        <f>L152*'CRCP &amp; Evolutions'!J$73</f>
        <v>1018.5712057390712</v>
      </c>
      <c r="Q152" s="287">
        <f t="shared" si="13"/>
        <v>915.22</v>
      </c>
      <c r="R152" s="288">
        <f t="shared" si="19"/>
        <v>935.9</v>
      </c>
      <c r="S152" s="288">
        <f t="shared" si="20"/>
        <v>996.86</v>
      </c>
      <c r="T152" s="289">
        <f t="shared" si="21"/>
        <v>1018.57</v>
      </c>
    </row>
    <row r="153" spans="2:20" ht="15" customHeight="1" thickBot="1" x14ac:dyDescent="0.35">
      <c r="B153" s="456"/>
      <c r="C153" s="459" t="s">
        <v>186</v>
      </c>
      <c r="D153" s="459"/>
      <c r="E153" s="459"/>
      <c r="F153" s="327"/>
      <c r="G153" s="327" t="s">
        <v>185</v>
      </c>
      <c r="H153" s="295">
        <v>0</v>
      </c>
      <c r="I153" s="296">
        <v>1372.83</v>
      </c>
      <c r="J153" s="297">
        <v>1372.83</v>
      </c>
      <c r="K153" s="297">
        <v>1372.83</v>
      </c>
      <c r="L153" s="297">
        <v>1372.83</v>
      </c>
      <c r="M153" s="296">
        <v>1372.83</v>
      </c>
      <c r="N153" s="297">
        <f>J153*'CRCP &amp; Evolutions'!H$73</f>
        <v>1403.8569733152706</v>
      </c>
      <c r="O153" s="297">
        <f>K153*'CRCP &amp; Evolutions'!I$73</f>
        <v>1495.2853003536889</v>
      </c>
      <c r="P153" s="297">
        <f>L153*'CRCP &amp; Evolutions'!J$73</f>
        <v>1527.8568086086066</v>
      </c>
      <c r="Q153" s="298">
        <f t="shared" si="13"/>
        <v>1372.83</v>
      </c>
      <c r="R153" s="299">
        <f t="shared" si="19"/>
        <v>1403.86</v>
      </c>
      <c r="S153" s="299">
        <f t="shared" si="20"/>
        <v>1495.29</v>
      </c>
      <c r="T153" s="300">
        <f t="shared" si="21"/>
        <v>1527.86</v>
      </c>
    </row>
    <row r="154" spans="2:20" ht="15" customHeight="1" x14ac:dyDescent="0.3">
      <c r="B154" s="460" t="s">
        <v>235</v>
      </c>
      <c r="C154" s="457"/>
      <c r="D154" s="457"/>
      <c r="E154" s="457"/>
      <c r="F154" s="272" t="s">
        <v>19</v>
      </c>
      <c r="G154" s="272" t="s">
        <v>168</v>
      </c>
      <c r="H154" s="273">
        <v>0</v>
      </c>
      <c r="I154" s="274">
        <v>6.55</v>
      </c>
      <c r="J154" s="286">
        <v>6.55</v>
      </c>
      <c r="K154" s="286">
        <v>6.55</v>
      </c>
      <c r="L154" s="286">
        <v>6.55</v>
      </c>
      <c r="M154" s="274">
        <v>6.55</v>
      </c>
      <c r="N154" s="286">
        <f>J154*'CRCP &amp; Evolutions'!H$73</f>
        <v>6.6980348442378324</v>
      </c>
      <c r="O154" s="286">
        <f>K154*'CRCP &amp; Evolutions'!I$73</f>
        <v>7.1342545816427831</v>
      </c>
      <c r="P154" s="286">
        <f>L154*'CRCP &amp; Evolutions'!J$73</f>
        <v>7.2896586586732326</v>
      </c>
      <c r="Q154" s="276">
        <f t="shared" si="13"/>
        <v>6.55</v>
      </c>
      <c r="R154" s="277">
        <f t="shared" si="19"/>
        <v>6.7</v>
      </c>
      <c r="S154" s="277">
        <f t="shared" si="20"/>
        <v>7.13</v>
      </c>
      <c r="T154" s="278">
        <f t="shared" si="21"/>
        <v>7.29</v>
      </c>
    </row>
    <row r="155" spans="2:20" ht="16.5" thickBot="1" x14ac:dyDescent="0.35">
      <c r="B155" s="461"/>
      <c r="C155" s="459"/>
      <c r="D155" s="459"/>
      <c r="E155" s="459"/>
      <c r="F155" s="294" t="s">
        <v>165</v>
      </c>
      <c r="G155" s="294" t="s">
        <v>176</v>
      </c>
      <c r="H155" s="295">
        <v>0</v>
      </c>
      <c r="I155" s="296">
        <v>6.93</v>
      </c>
      <c r="J155" s="297">
        <v>6.93</v>
      </c>
      <c r="K155" s="297">
        <v>6.93</v>
      </c>
      <c r="L155" s="297">
        <v>6.93</v>
      </c>
      <c r="M155" s="296">
        <v>6.93</v>
      </c>
      <c r="N155" s="297">
        <f>J155*'CRCP &amp; Evolutions'!H$73</f>
        <v>7.0866231252775842</v>
      </c>
      <c r="O155" s="297">
        <f>K155*'CRCP &amp; Evolutions'!I$73</f>
        <v>7.548150267295342</v>
      </c>
      <c r="P155" s="297">
        <f>L155*'CRCP &amp; Evolutions'!J$73</f>
        <v>7.7125701533748856</v>
      </c>
      <c r="Q155" s="298">
        <f t="shared" si="13"/>
        <v>6.93</v>
      </c>
      <c r="R155" s="299">
        <f t="shared" si="19"/>
        <v>7.09</v>
      </c>
      <c r="S155" s="299">
        <f t="shared" si="20"/>
        <v>7.55</v>
      </c>
      <c r="T155" s="300">
        <f t="shared" si="21"/>
        <v>7.71</v>
      </c>
    </row>
    <row r="156" spans="2:20" x14ac:dyDescent="0.3">
      <c r="B156" s="454" t="s">
        <v>236</v>
      </c>
      <c r="C156" s="457" t="s">
        <v>187</v>
      </c>
      <c r="D156" s="457"/>
      <c r="E156" s="457"/>
      <c r="F156" s="326" t="s">
        <v>188</v>
      </c>
      <c r="G156" s="326" t="s">
        <v>168</v>
      </c>
      <c r="H156" s="273">
        <v>0</v>
      </c>
      <c r="I156" s="274">
        <v>8.5</v>
      </c>
      <c r="J156" s="286">
        <v>8.5</v>
      </c>
      <c r="K156" s="286">
        <v>8.5</v>
      </c>
      <c r="L156" s="286">
        <v>8.5</v>
      </c>
      <c r="M156" s="274">
        <v>8.5</v>
      </c>
      <c r="N156" s="286">
        <f>J156*'CRCP &amp; Evolutions'!H$73</f>
        <v>8.6921062864155072</v>
      </c>
      <c r="O156" s="286">
        <f>K156*'CRCP &amp; Evolutions'!I$73</f>
        <v>9.2581929685440709</v>
      </c>
      <c r="P156" s="286">
        <f>L156*'CRCP &amp; Evolutions'!J$73</f>
        <v>9.4598623814843474</v>
      </c>
      <c r="Q156" s="276">
        <f t="shared" si="13"/>
        <v>8.5</v>
      </c>
      <c r="R156" s="277">
        <f t="shared" si="19"/>
        <v>8.69</v>
      </c>
      <c r="S156" s="277">
        <f t="shared" si="20"/>
        <v>9.26</v>
      </c>
      <c r="T156" s="278">
        <f t="shared" si="21"/>
        <v>9.4600000000000009</v>
      </c>
    </row>
    <row r="157" spans="2:20" x14ac:dyDescent="0.3">
      <c r="B157" s="455"/>
      <c r="C157" s="458"/>
      <c r="D157" s="458"/>
      <c r="E157" s="458"/>
      <c r="F157" s="256" t="s">
        <v>189</v>
      </c>
      <c r="G157" s="256" t="s">
        <v>174</v>
      </c>
      <c r="H157" s="284">
        <v>0</v>
      </c>
      <c r="I157" s="285">
        <v>1.84</v>
      </c>
      <c r="J157" s="286">
        <v>1.84</v>
      </c>
      <c r="K157" s="286">
        <v>1.84</v>
      </c>
      <c r="L157" s="286">
        <v>1.84</v>
      </c>
      <c r="M157" s="285">
        <v>1.84</v>
      </c>
      <c r="N157" s="286">
        <f>J157*'CRCP &amp; Evolutions'!H$73</f>
        <v>1.8815853608240629</v>
      </c>
      <c r="O157" s="286">
        <f>K157*'CRCP &amp; Evolutions'!I$73</f>
        <v>2.004126477896599</v>
      </c>
      <c r="P157" s="286">
        <f>L157*'CRCP &amp; Evolutions'!J$73</f>
        <v>2.0477819743448471</v>
      </c>
      <c r="Q157" s="287">
        <f t="shared" si="13"/>
        <v>1.84</v>
      </c>
      <c r="R157" s="288">
        <f t="shared" si="19"/>
        <v>1.88</v>
      </c>
      <c r="S157" s="288">
        <f t="shared" si="20"/>
        <v>2</v>
      </c>
      <c r="T157" s="289">
        <f t="shared" si="21"/>
        <v>2.0499999999999998</v>
      </c>
    </row>
    <row r="158" spans="2:20" ht="16.5" thickBot="1" x14ac:dyDescent="0.35">
      <c r="B158" s="455"/>
      <c r="C158" s="459"/>
      <c r="D158" s="459"/>
      <c r="E158" s="459"/>
      <c r="F158" s="327" t="s">
        <v>190</v>
      </c>
      <c r="G158" s="327" t="s">
        <v>191</v>
      </c>
      <c r="H158" s="295">
        <v>0</v>
      </c>
      <c r="I158" s="296">
        <v>68.209999999999994</v>
      </c>
      <c r="J158" s="297">
        <v>68.209999999999994</v>
      </c>
      <c r="K158" s="297">
        <v>68.209999999999994</v>
      </c>
      <c r="L158" s="297">
        <v>68.209999999999994</v>
      </c>
      <c r="M158" s="296">
        <v>68.209999999999994</v>
      </c>
      <c r="N158" s="297">
        <f>J158*'CRCP &amp; Evolutions'!H$73</f>
        <v>69.751596446635489</v>
      </c>
      <c r="O158" s="297">
        <f>K158*'CRCP &amp; Evolutions'!I$73</f>
        <v>74.294275574634227</v>
      </c>
      <c r="P158" s="297">
        <f>L158*'CRCP &amp; Evolutions'!J$73</f>
        <v>75.912613298946738</v>
      </c>
      <c r="Q158" s="298">
        <f t="shared" si="13"/>
        <v>68.209999999999994</v>
      </c>
      <c r="R158" s="299">
        <f t="shared" si="19"/>
        <v>69.75</v>
      </c>
      <c r="S158" s="299">
        <f t="shared" si="20"/>
        <v>74.290000000000006</v>
      </c>
      <c r="T158" s="300">
        <f t="shared" si="21"/>
        <v>75.91</v>
      </c>
    </row>
    <row r="159" spans="2:20" ht="15.75" customHeight="1" x14ac:dyDescent="0.3">
      <c r="B159" s="455"/>
      <c r="C159" s="458" t="s">
        <v>192</v>
      </c>
      <c r="D159" s="458"/>
      <c r="E159" s="458"/>
      <c r="F159" s="256" t="s">
        <v>188</v>
      </c>
      <c r="G159" s="256" t="s">
        <v>168</v>
      </c>
      <c r="H159" s="284">
        <v>0</v>
      </c>
      <c r="I159" s="285">
        <v>2.96</v>
      </c>
      <c r="J159" s="286">
        <v>2.96</v>
      </c>
      <c r="K159" s="286">
        <v>2.96</v>
      </c>
      <c r="L159" s="286">
        <v>2.96</v>
      </c>
      <c r="M159" s="285">
        <v>2.96</v>
      </c>
      <c r="N159" s="286">
        <f>J159*'CRCP &amp; Evolutions'!H$73</f>
        <v>3.026898189151753</v>
      </c>
      <c r="O159" s="286">
        <f>K159*'CRCP &amp; Evolutions'!I$73</f>
        <v>3.2240295513988761</v>
      </c>
      <c r="P159" s="286">
        <f>L159*'CRCP &amp; Evolutions'!J$73</f>
        <v>3.2942579587286671</v>
      </c>
      <c r="Q159" s="287">
        <f t="shared" si="13"/>
        <v>2.96</v>
      </c>
      <c r="R159" s="277">
        <f t="shared" si="19"/>
        <v>3.03</v>
      </c>
      <c r="S159" s="277">
        <f t="shared" si="20"/>
        <v>3.22</v>
      </c>
      <c r="T159" s="278">
        <f t="shared" si="21"/>
        <v>3.29</v>
      </c>
    </row>
    <row r="160" spans="2:20" x14ac:dyDescent="0.3">
      <c r="B160" s="455"/>
      <c r="C160" s="458"/>
      <c r="D160" s="458"/>
      <c r="E160" s="458"/>
      <c r="F160" s="256" t="s">
        <v>189</v>
      </c>
      <c r="G160" s="256" t="s">
        <v>174</v>
      </c>
      <c r="H160" s="284">
        <v>0</v>
      </c>
      <c r="I160" s="285">
        <v>1.84</v>
      </c>
      <c r="J160" s="286">
        <v>1.84</v>
      </c>
      <c r="K160" s="286">
        <v>1.84</v>
      </c>
      <c r="L160" s="286">
        <v>1.84</v>
      </c>
      <c r="M160" s="285">
        <v>1.84</v>
      </c>
      <c r="N160" s="286">
        <f>J160*'CRCP &amp; Evolutions'!H$73</f>
        <v>1.8815853608240629</v>
      </c>
      <c r="O160" s="286">
        <f>K160*'CRCP &amp; Evolutions'!I$73</f>
        <v>2.004126477896599</v>
      </c>
      <c r="P160" s="286">
        <f>L160*'CRCP &amp; Evolutions'!J$73</f>
        <v>2.0477819743448471</v>
      </c>
      <c r="Q160" s="287">
        <f t="shared" si="13"/>
        <v>1.84</v>
      </c>
      <c r="R160" s="288">
        <f t="shared" si="19"/>
        <v>1.88</v>
      </c>
      <c r="S160" s="288">
        <f t="shared" si="20"/>
        <v>2</v>
      </c>
      <c r="T160" s="289">
        <f t="shared" si="21"/>
        <v>2.0499999999999998</v>
      </c>
    </row>
    <row r="161" spans="2:20" ht="16.5" thickBot="1" x14ac:dyDescent="0.35">
      <c r="B161" s="456"/>
      <c r="C161" s="459"/>
      <c r="D161" s="459"/>
      <c r="E161" s="459"/>
      <c r="F161" s="327" t="s">
        <v>190</v>
      </c>
      <c r="G161" s="327" t="s">
        <v>191</v>
      </c>
      <c r="H161" s="295">
        <v>0</v>
      </c>
      <c r="I161" s="296">
        <v>24.22</v>
      </c>
      <c r="J161" s="297">
        <v>24.22</v>
      </c>
      <c r="K161" s="297">
        <v>24.22</v>
      </c>
      <c r="L161" s="297">
        <v>24.22</v>
      </c>
      <c r="M161" s="296">
        <v>24.22</v>
      </c>
      <c r="N161" s="297">
        <f>J161*'CRCP &amp; Evolutions'!H$73</f>
        <v>24.767389912586303</v>
      </c>
      <c r="O161" s="297">
        <f>K161*'CRCP &amp; Evolutions'!I$73</f>
        <v>26.380403964486749</v>
      </c>
      <c r="P161" s="297">
        <f>L161*'CRCP &amp; Evolutions'!J$73</f>
        <v>26.955043162300104</v>
      </c>
      <c r="Q161" s="298">
        <f t="shared" si="13"/>
        <v>24.22</v>
      </c>
      <c r="R161" s="299">
        <f t="shared" si="19"/>
        <v>24.77</v>
      </c>
      <c r="S161" s="299">
        <f t="shared" si="20"/>
        <v>26.38</v>
      </c>
      <c r="T161" s="300">
        <f t="shared" si="21"/>
        <v>26.96</v>
      </c>
    </row>
    <row r="162" spans="2:20" ht="26.25" customHeight="1" x14ac:dyDescent="0.3">
      <c r="B162" s="454" t="s">
        <v>237</v>
      </c>
      <c r="C162" s="460" t="s">
        <v>184</v>
      </c>
      <c r="D162" s="457"/>
      <c r="E162" s="457"/>
      <c r="F162" s="272" t="s">
        <v>193</v>
      </c>
      <c r="G162" s="272" t="s">
        <v>194</v>
      </c>
      <c r="H162" s="273">
        <v>0</v>
      </c>
      <c r="I162" s="274">
        <v>0.52</v>
      </c>
      <c r="J162" s="286">
        <v>0.52</v>
      </c>
      <c r="K162" s="286">
        <v>0.52</v>
      </c>
      <c r="L162" s="286">
        <v>0.52</v>
      </c>
      <c r="M162" s="274">
        <v>0.52</v>
      </c>
      <c r="N162" s="286">
        <f>J162*'CRCP &amp; Evolutions'!H$73</f>
        <v>0.53175238458071339</v>
      </c>
      <c r="O162" s="286">
        <f>K162*'CRCP &amp; Evolutions'!I$73</f>
        <v>0.5663835698403431</v>
      </c>
      <c r="P162" s="286">
        <f>L162*'CRCP &amp; Evolutions'!J$73</f>
        <v>0.57872099274963074</v>
      </c>
      <c r="Q162" s="276">
        <f t="shared" si="13"/>
        <v>0.52</v>
      </c>
      <c r="R162" s="277">
        <f t="shared" si="19"/>
        <v>0.53</v>
      </c>
      <c r="S162" s="277">
        <f t="shared" si="20"/>
        <v>0.56999999999999995</v>
      </c>
      <c r="T162" s="278">
        <f t="shared" si="21"/>
        <v>0.57999999999999996</v>
      </c>
    </row>
    <row r="163" spans="2:20" ht="26.25" customHeight="1" thickBot="1" x14ac:dyDescent="0.35">
      <c r="B163" s="456"/>
      <c r="C163" s="461" t="s">
        <v>186</v>
      </c>
      <c r="D163" s="459"/>
      <c r="E163" s="459"/>
      <c r="F163" s="294" t="s">
        <v>193</v>
      </c>
      <c r="G163" s="294" t="s">
        <v>194</v>
      </c>
      <c r="H163" s="295">
        <v>0</v>
      </c>
      <c r="I163" s="296">
        <v>0.76</v>
      </c>
      <c r="J163" s="297">
        <v>0.76</v>
      </c>
      <c r="K163" s="297">
        <v>0.76</v>
      </c>
      <c r="L163" s="297">
        <v>0.76</v>
      </c>
      <c r="M163" s="296">
        <v>0.76</v>
      </c>
      <c r="N163" s="297">
        <f>J163*'CRCP &amp; Evolutions'!H$73</f>
        <v>0.77717656207950425</v>
      </c>
      <c r="O163" s="297">
        <f>K163*'CRCP &amp; Evolutions'!I$73</f>
        <v>0.82779137130511693</v>
      </c>
      <c r="P163" s="297">
        <f>L163*'CRCP &amp; Evolutions'!J$73</f>
        <v>0.84582298940330636</v>
      </c>
      <c r="Q163" s="298">
        <f t="shared" si="13"/>
        <v>0.76</v>
      </c>
      <c r="R163" s="299">
        <f t="shared" si="19"/>
        <v>0.78</v>
      </c>
      <c r="S163" s="299">
        <f t="shared" si="20"/>
        <v>0.83</v>
      </c>
      <c r="T163" s="300">
        <f t="shared" si="21"/>
        <v>0.85</v>
      </c>
    </row>
    <row r="164" spans="2:20" ht="32.25" thickBot="1" x14ac:dyDescent="0.35">
      <c r="B164" s="328" t="s">
        <v>238</v>
      </c>
      <c r="C164" s="453" t="s">
        <v>195</v>
      </c>
      <c r="D164" s="452"/>
      <c r="E164" s="452"/>
      <c r="F164" s="318" t="s">
        <v>193</v>
      </c>
      <c r="G164" s="318" t="s">
        <v>168</v>
      </c>
      <c r="H164" s="320">
        <v>0</v>
      </c>
      <c r="I164" s="322">
        <v>8.74</v>
      </c>
      <c r="J164" s="321">
        <v>8.74</v>
      </c>
      <c r="K164" s="321">
        <v>8.74</v>
      </c>
      <c r="L164" s="321">
        <v>8.74</v>
      </c>
      <c r="M164" s="322">
        <v>8.74</v>
      </c>
      <c r="N164" s="321">
        <f>J164*'CRCP &amp; Evolutions'!H$73</f>
        <v>8.9375304639142978</v>
      </c>
      <c r="O164" s="321">
        <f>K164*'CRCP &amp; Evolutions'!I$73</f>
        <v>9.5196007700088447</v>
      </c>
      <c r="P164" s="321">
        <f>L164*'CRCP &amp; Evolutions'!J$73</f>
        <v>9.7269643781380228</v>
      </c>
      <c r="Q164" s="323">
        <f t="shared" si="13"/>
        <v>8.74</v>
      </c>
      <c r="R164" s="324">
        <f t="shared" si="19"/>
        <v>8.94</v>
      </c>
      <c r="S164" s="324">
        <f t="shared" si="20"/>
        <v>9.52</v>
      </c>
      <c r="T164" s="325">
        <f t="shared" si="21"/>
        <v>9.73</v>
      </c>
    </row>
    <row r="165" spans="2:20" x14ac:dyDescent="0.3">
      <c r="B165" s="454" t="s">
        <v>239</v>
      </c>
      <c r="C165" s="457" t="s">
        <v>196</v>
      </c>
      <c r="D165" s="457"/>
      <c r="E165" s="457"/>
      <c r="F165" s="272" t="s">
        <v>19</v>
      </c>
      <c r="G165" s="272" t="s">
        <v>197</v>
      </c>
      <c r="H165" s="273">
        <v>0</v>
      </c>
      <c r="I165" s="274">
        <v>2.02</v>
      </c>
      <c r="J165" s="275">
        <v>2.02</v>
      </c>
      <c r="K165" s="275">
        <v>2.02</v>
      </c>
      <c r="L165" s="275">
        <v>2.02</v>
      </c>
      <c r="M165" s="274">
        <v>2.02</v>
      </c>
      <c r="N165" s="275">
        <f>J165*'CRCP &amp; Evolutions'!H$73</f>
        <v>2.0656534939481559</v>
      </c>
      <c r="O165" s="275">
        <f>K165*'CRCP &amp; Evolutions'!I$73</f>
        <v>2.200182328995179</v>
      </c>
      <c r="P165" s="275">
        <f>L165*'CRCP &amp; Evolutions'!J$73</f>
        <v>2.2481084718351036</v>
      </c>
      <c r="Q165" s="276">
        <f t="shared" si="13"/>
        <v>2.02</v>
      </c>
      <c r="R165" s="277">
        <f t="shared" si="19"/>
        <v>2.0699999999999998</v>
      </c>
      <c r="S165" s="277">
        <f t="shared" si="20"/>
        <v>2.2000000000000002</v>
      </c>
      <c r="T165" s="278">
        <f t="shared" si="21"/>
        <v>2.25</v>
      </c>
    </row>
    <row r="166" spans="2:20" ht="16.5" thickBot="1" x14ac:dyDescent="0.35">
      <c r="B166" s="456"/>
      <c r="C166" s="459" t="s">
        <v>196</v>
      </c>
      <c r="D166" s="459"/>
      <c r="E166" s="459"/>
      <c r="F166" s="294" t="s">
        <v>198</v>
      </c>
      <c r="G166" s="294" t="s">
        <v>197</v>
      </c>
      <c r="H166" s="295">
        <v>0</v>
      </c>
      <c r="I166" s="296">
        <v>2.11</v>
      </c>
      <c r="J166" s="297">
        <v>2.11</v>
      </c>
      <c r="K166" s="297">
        <v>2.11</v>
      </c>
      <c r="L166" s="297">
        <v>2.11</v>
      </c>
      <c r="M166" s="296">
        <v>2.11</v>
      </c>
      <c r="N166" s="297">
        <f>J166*'CRCP &amp; Evolutions'!H$73</f>
        <v>2.1576875605102024</v>
      </c>
      <c r="O166" s="297">
        <f>K166*'CRCP &amp; Evolutions'!I$73</f>
        <v>2.2982102545444691</v>
      </c>
      <c r="P166" s="297">
        <f>L166*'CRCP &amp; Evolutions'!J$73</f>
        <v>2.3482717205802319</v>
      </c>
      <c r="Q166" s="298">
        <f t="shared" si="13"/>
        <v>2.11</v>
      </c>
      <c r="R166" s="299">
        <f t="shared" si="19"/>
        <v>2.16</v>
      </c>
      <c r="S166" s="299">
        <f t="shared" si="20"/>
        <v>2.2999999999999998</v>
      </c>
      <c r="T166" s="300">
        <f t="shared" si="21"/>
        <v>2.35</v>
      </c>
    </row>
    <row r="167" spans="2:20" ht="15.75" customHeight="1" x14ac:dyDescent="0.3">
      <c r="B167" s="454" t="s">
        <v>240</v>
      </c>
      <c r="C167" s="457" t="s">
        <v>199</v>
      </c>
      <c r="D167" s="457"/>
      <c r="E167" s="457"/>
      <c r="F167" s="272" t="s">
        <v>19</v>
      </c>
      <c r="G167" s="272" t="s">
        <v>197</v>
      </c>
      <c r="H167" s="273">
        <v>0</v>
      </c>
      <c r="I167" s="274">
        <v>2.02</v>
      </c>
      <c r="J167" s="286">
        <v>2.02</v>
      </c>
      <c r="K167" s="286">
        <v>2.02</v>
      </c>
      <c r="L167" s="286">
        <v>2.02</v>
      </c>
      <c r="M167" s="274">
        <v>2.02</v>
      </c>
      <c r="N167" s="286">
        <f>J167*'CRCP &amp; Evolutions'!H$73</f>
        <v>2.0656534939481559</v>
      </c>
      <c r="O167" s="286">
        <f>K167*'CRCP &amp; Evolutions'!I$73</f>
        <v>2.200182328995179</v>
      </c>
      <c r="P167" s="286">
        <f>L167*'CRCP &amp; Evolutions'!J$73</f>
        <v>2.2481084718351036</v>
      </c>
      <c r="Q167" s="276">
        <f t="shared" si="13"/>
        <v>2.02</v>
      </c>
      <c r="R167" s="277">
        <f t="shared" ref="R167:R170" si="23">IF($H167=1,ROUND(N167/12,2)*12,ROUND(N167,2))</f>
        <v>2.0699999999999998</v>
      </c>
      <c r="S167" s="277">
        <f t="shared" ref="S167:S170" si="24">IF($H167=1,ROUND(O167/12,2)*12,ROUND(O167,2))</f>
        <v>2.2000000000000002</v>
      </c>
      <c r="T167" s="278">
        <f t="shared" ref="T167:T170" si="25">IF($H167=1,ROUND(P167/12,2)*12,ROUND(P167,2))</f>
        <v>2.25</v>
      </c>
    </row>
    <row r="168" spans="2:20" ht="16.5" thickBot="1" x14ac:dyDescent="0.35">
      <c r="B168" s="456"/>
      <c r="C168" s="459"/>
      <c r="D168" s="459"/>
      <c r="E168" s="459"/>
      <c r="F168" s="294" t="s">
        <v>198</v>
      </c>
      <c r="G168" s="294" t="s">
        <v>197</v>
      </c>
      <c r="H168" s="295">
        <v>0</v>
      </c>
      <c r="I168" s="296">
        <v>2.11</v>
      </c>
      <c r="J168" s="297">
        <v>2.11</v>
      </c>
      <c r="K168" s="297">
        <v>2.11</v>
      </c>
      <c r="L168" s="297">
        <v>2.11</v>
      </c>
      <c r="M168" s="296">
        <v>2.11</v>
      </c>
      <c r="N168" s="297">
        <f>J168*'CRCP &amp; Evolutions'!H$73</f>
        <v>2.1576875605102024</v>
      </c>
      <c r="O168" s="297">
        <f>K168*'CRCP &amp; Evolutions'!I$73</f>
        <v>2.2982102545444691</v>
      </c>
      <c r="P168" s="297">
        <f>L168*'CRCP &amp; Evolutions'!J$73</f>
        <v>2.3482717205802319</v>
      </c>
      <c r="Q168" s="298">
        <f t="shared" si="13"/>
        <v>2.11</v>
      </c>
      <c r="R168" s="299">
        <f t="shared" si="23"/>
        <v>2.16</v>
      </c>
      <c r="S168" s="299">
        <f t="shared" si="24"/>
        <v>2.2999999999999998</v>
      </c>
      <c r="T168" s="300">
        <f t="shared" si="25"/>
        <v>2.35</v>
      </c>
    </row>
    <row r="169" spans="2:20" ht="36.75" customHeight="1" thickBot="1" x14ac:dyDescent="0.35">
      <c r="B169" s="328" t="s">
        <v>241</v>
      </c>
      <c r="C169" s="452" t="s">
        <v>200</v>
      </c>
      <c r="D169" s="452"/>
      <c r="E169" s="452"/>
      <c r="F169" s="318" t="s">
        <v>19</v>
      </c>
      <c r="G169" s="319" t="s">
        <v>197</v>
      </c>
      <c r="H169" s="320">
        <v>0</v>
      </c>
      <c r="I169" s="322">
        <v>2.02</v>
      </c>
      <c r="J169" s="321">
        <v>2.02</v>
      </c>
      <c r="K169" s="321">
        <v>2.02</v>
      </c>
      <c r="L169" s="321">
        <v>2.02</v>
      </c>
      <c r="M169" s="322">
        <v>2.02</v>
      </c>
      <c r="N169" s="321">
        <f>J169*'CRCP &amp; Evolutions'!H$73</f>
        <v>2.0656534939481559</v>
      </c>
      <c r="O169" s="321">
        <f>K169*'CRCP &amp; Evolutions'!I$73</f>
        <v>2.200182328995179</v>
      </c>
      <c r="P169" s="321">
        <f>L169*'CRCP &amp; Evolutions'!J$73</f>
        <v>2.2481084718351036</v>
      </c>
      <c r="Q169" s="323">
        <f t="shared" si="13"/>
        <v>2.02</v>
      </c>
      <c r="R169" s="324">
        <f t="shared" si="23"/>
        <v>2.0699999999999998</v>
      </c>
      <c r="S169" s="324">
        <f t="shared" si="24"/>
        <v>2.2000000000000002</v>
      </c>
      <c r="T169" s="325">
        <f t="shared" si="25"/>
        <v>2.25</v>
      </c>
    </row>
    <row r="170" spans="2:20" ht="30" customHeight="1" thickBot="1" x14ac:dyDescent="0.35">
      <c r="B170" s="453" t="s">
        <v>242</v>
      </c>
      <c r="C170" s="452"/>
      <c r="D170" s="452"/>
      <c r="E170" s="452"/>
      <c r="F170" s="318" t="s">
        <v>19</v>
      </c>
      <c r="G170" s="319" t="s">
        <v>197</v>
      </c>
      <c r="H170" s="320">
        <v>0</v>
      </c>
      <c r="I170" s="322">
        <v>2.02</v>
      </c>
      <c r="J170" s="321">
        <v>2.02</v>
      </c>
      <c r="K170" s="321">
        <v>2.02</v>
      </c>
      <c r="L170" s="321">
        <v>2.02</v>
      </c>
      <c r="M170" s="322">
        <v>2.02</v>
      </c>
      <c r="N170" s="321">
        <f>J170*'CRCP &amp; Evolutions'!H$73</f>
        <v>2.0656534939481559</v>
      </c>
      <c r="O170" s="321">
        <f>K170*'CRCP &amp; Evolutions'!I$73</f>
        <v>2.200182328995179</v>
      </c>
      <c r="P170" s="321">
        <f>L170*'CRCP &amp; Evolutions'!J$73</f>
        <v>2.2481084718351036</v>
      </c>
      <c r="Q170" s="323">
        <f t="shared" si="13"/>
        <v>2.02</v>
      </c>
      <c r="R170" s="324">
        <f t="shared" si="23"/>
        <v>2.0699999999999998</v>
      </c>
      <c r="S170" s="324">
        <f t="shared" si="24"/>
        <v>2.2000000000000002</v>
      </c>
      <c r="T170" s="325">
        <f t="shared" si="25"/>
        <v>2.25</v>
      </c>
    </row>
  </sheetData>
  <autoFilter ref="A6:T6" xr:uid="{2A97947C-5D6C-4B5D-95EC-93CCB4914A40}"/>
  <mergeCells count="80">
    <mergeCell ref="M4:P4"/>
    <mergeCell ref="Q4:T4"/>
    <mergeCell ref="B7:B12"/>
    <mergeCell ref="B13:B15"/>
    <mergeCell ref="B16:B21"/>
    <mergeCell ref="I4:L4"/>
    <mergeCell ref="B33:E34"/>
    <mergeCell ref="B35:B44"/>
    <mergeCell ref="C35:E39"/>
    <mergeCell ref="C40:E44"/>
    <mergeCell ref="B22:B27"/>
    <mergeCell ref="C28:E28"/>
    <mergeCell ref="B29:B31"/>
    <mergeCell ref="C29:E29"/>
    <mergeCell ref="C30:E30"/>
    <mergeCell ref="C31:E31"/>
    <mergeCell ref="C32:E32"/>
    <mergeCell ref="B45:B54"/>
    <mergeCell ref="C45:E49"/>
    <mergeCell ref="C50:E54"/>
    <mergeCell ref="B55:B64"/>
    <mergeCell ref="C55:E59"/>
    <mergeCell ref="C60:E64"/>
    <mergeCell ref="B65:B74"/>
    <mergeCell ref="C65:E69"/>
    <mergeCell ref="C70:E74"/>
    <mergeCell ref="B75:B82"/>
    <mergeCell ref="C75:E78"/>
    <mergeCell ref="C79:E82"/>
    <mergeCell ref="B126:E126"/>
    <mergeCell ref="C115:E115"/>
    <mergeCell ref="B116:F116"/>
    <mergeCell ref="B83:B90"/>
    <mergeCell ref="C83:E86"/>
    <mergeCell ref="C87:E90"/>
    <mergeCell ref="C95:E98"/>
    <mergeCell ref="C99:E102"/>
    <mergeCell ref="C107:E110"/>
    <mergeCell ref="C111:E114"/>
    <mergeCell ref="B117:F117"/>
    <mergeCell ref="B118:F118"/>
    <mergeCell ref="B119:E122"/>
    <mergeCell ref="B123:E123"/>
    <mergeCell ref="B124:E125"/>
    <mergeCell ref="B127:E130"/>
    <mergeCell ref="B131:F131"/>
    <mergeCell ref="B132:F132"/>
    <mergeCell ref="B133:B141"/>
    <mergeCell ref="C133:E133"/>
    <mergeCell ref="C134:E137"/>
    <mergeCell ref="C138:E141"/>
    <mergeCell ref="B142:B150"/>
    <mergeCell ref="C142:E142"/>
    <mergeCell ref="C143:E146"/>
    <mergeCell ref="C147:E150"/>
    <mergeCell ref="B151:B153"/>
    <mergeCell ref="C151:E151"/>
    <mergeCell ref="C152:E152"/>
    <mergeCell ref="C153:E153"/>
    <mergeCell ref="C156:E158"/>
    <mergeCell ref="C159:E161"/>
    <mergeCell ref="B162:B163"/>
    <mergeCell ref="C162:E162"/>
    <mergeCell ref="C163:E163"/>
    <mergeCell ref="C169:E169"/>
    <mergeCell ref="B170:E170"/>
    <mergeCell ref="B91:B94"/>
    <mergeCell ref="C91:E94"/>
    <mergeCell ref="B95:B102"/>
    <mergeCell ref="B103:B106"/>
    <mergeCell ref="C103:E106"/>
    <mergeCell ref="B107:B114"/>
    <mergeCell ref="C164:E164"/>
    <mergeCell ref="B165:B166"/>
    <mergeCell ref="C165:E165"/>
    <mergeCell ref="C166:E166"/>
    <mergeCell ref="B167:B168"/>
    <mergeCell ref="C167:E168"/>
    <mergeCell ref="B154:E155"/>
    <mergeCell ref="B156:B16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6D26-ED8F-4C35-B3D2-BFCC3CBC695F}">
  <sheetPr>
    <tabColor theme="4"/>
  </sheetPr>
  <dimension ref="A1:P43"/>
  <sheetViews>
    <sheetView workbookViewId="0">
      <pane xSplit="1" ySplit="6" topLeftCell="E7" activePane="bottomRight" state="frozen"/>
      <selection pane="topRight" activeCell="B1" sqref="B1"/>
      <selection pane="bottomLeft" activeCell="A7" sqref="A7"/>
      <selection pane="bottomRight" activeCell="H12" sqref="H12"/>
    </sheetView>
  </sheetViews>
  <sheetFormatPr baseColWidth="10" defaultColWidth="9.28515625" defaultRowHeight="15" x14ac:dyDescent="0.25"/>
  <cols>
    <col min="1" max="1" width="17.7109375" customWidth="1"/>
    <col min="2" max="2" width="4.28515625" customWidth="1"/>
    <col min="3" max="3" width="27" customWidth="1"/>
    <col min="4" max="5" width="23.7109375" customWidth="1"/>
    <col min="6" max="6" width="4.42578125" customWidth="1"/>
    <col min="7" max="7" width="27" customWidth="1"/>
    <col min="8" max="8" width="23.7109375" customWidth="1"/>
    <col min="9" max="9" width="4.42578125" customWidth="1"/>
    <col min="10" max="10" width="27" customWidth="1"/>
    <col min="11" max="12" width="23.7109375" customWidth="1"/>
    <col min="13" max="13" width="4.42578125" customWidth="1"/>
    <col min="14" max="14" width="27" customWidth="1"/>
    <col min="15" max="16" width="23.7109375" customWidth="1"/>
    <col min="17" max="18" width="4.42578125" customWidth="1"/>
  </cols>
  <sheetData>
    <row r="1" spans="1:16" x14ac:dyDescent="0.25">
      <c r="C1" s="338" t="s">
        <v>0</v>
      </c>
      <c r="G1" s="338"/>
      <c r="J1" s="338"/>
      <c r="N1" s="338"/>
    </row>
    <row r="2" spans="1:16" ht="24" x14ac:dyDescent="0.25">
      <c r="C2" s="344" t="s">
        <v>255</v>
      </c>
      <c r="G2" s="344"/>
      <c r="J2" s="344"/>
      <c r="N2" s="344"/>
    </row>
    <row r="4" spans="1:16" ht="25.15" customHeight="1" x14ac:dyDescent="0.25">
      <c r="C4" s="449" t="s">
        <v>201</v>
      </c>
      <c r="D4" s="450"/>
      <c r="E4" s="450"/>
      <c r="G4" s="449" t="s">
        <v>206</v>
      </c>
      <c r="H4" s="450"/>
      <c r="J4" s="449" t="s">
        <v>207</v>
      </c>
      <c r="K4" s="450"/>
      <c r="L4" s="450"/>
      <c r="N4" s="449" t="s">
        <v>208</v>
      </c>
      <c r="O4" s="450"/>
      <c r="P4" s="450"/>
    </row>
    <row r="5" spans="1:16" ht="15.75" thickBot="1" x14ac:dyDescent="0.3">
      <c r="E5" s="339"/>
      <c r="L5" s="339"/>
      <c r="P5" s="339"/>
    </row>
    <row r="6" spans="1:16" ht="27.75" thickBot="1" x14ac:dyDescent="0.3">
      <c r="B6" s="340"/>
      <c r="C6" s="348" t="s">
        <v>249</v>
      </c>
      <c r="D6" s="349" t="s">
        <v>148</v>
      </c>
      <c r="E6" s="350" t="s">
        <v>155</v>
      </c>
      <c r="G6" s="345" t="s">
        <v>249</v>
      </c>
      <c r="H6" s="346" t="s">
        <v>148</v>
      </c>
      <c r="J6" s="348" t="s">
        <v>249</v>
      </c>
      <c r="K6" s="349" t="s">
        <v>148</v>
      </c>
      <c r="L6" s="350" t="s">
        <v>155</v>
      </c>
      <c r="N6" s="348" t="s">
        <v>249</v>
      </c>
      <c r="O6" s="349" t="s">
        <v>148</v>
      </c>
      <c r="P6" s="350" t="s">
        <v>155</v>
      </c>
    </row>
    <row r="7" spans="1:16" ht="15.75" thickBot="1" x14ac:dyDescent="0.3">
      <c r="A7" s="483" t="s">
        <v>250</v>
      </c>
      <c r="C7" s="333" t="s">
        <v>19</v>
      </c>
      <c r="D7" s="351">
        <f>'Grille tarifaire'!Q7</f>
        <v>213.24</v>
      </c>
      <c r="E7" s="351">
        <f>'Grille tarifaire'!Q10</f>
        <v>213.24</v>
      </c>
      <c r="G7" s="343" t="s">
        <v>19</v>
      </c>
      <c r="H7" s="351">
        <f>'Grille tarifaire'!Q13</f>
        <v>319.79999999999995</v>
      </c>
      <c r="J7" s="333" t="s">
        <v>19</v>
      </c>
      <c r="K7" s="351">
        <f>'Grille tarifaire'!Q16</f>
        <v>213.24</v>
      </c>
      <c r="L7" s="351">
        <f>'Grille tarifaire'!Q19</f>
        <v>213.24</v>
      </c>
      <c r="N7" s="353"/>
      <c r="O7" s="354"/>
      <c r="P7" s="354"/>
    </row>
    <row r="8" spans="1:16" ht="15.75" thickBot="1" x14ac:dyDescent="0.3">
      <c r="A8" s="484"/>
      <c r="C8" s="333" t="s">
        <v>20</v>
      </c>
      <c r="D8" s="351">
        <f>'Grille tarifaire'!Q8</f>
        <v>106.56</v>
      </c>
      <c r="E8" s="351">
        <f>'Grille tarifaire'!Q11</f>
        <v>106.56</v>
      </c>
      <c r="G8" s="341" t="s">
        <v>20</v>
      </c>
      <c r="H8" s="351">
        <f>'Grille tarifaire'!Q14</f>
        <v>159.35999999999999</v>
      </c>
      <c r="J8" s="333" t="s">
        <v>20</v>
      </c>
      <c r="K8" s="351">
        <f>'Grille tarifaire'!Q17</f>
        <v>106.56</v>
      </c>
      <c r="L8" s="351">
        <f>'Grille tarifaire'!Q20</f>
        <v>106.56</v>
      </c>
      <c r="N8" s="333" t="s">
        <v>20</v>
      </c>
      <c r="O8" s="351">
        <f>'Grille tarifaire'!Q23</f>
        <v>159.96</v>
      </c>
      <c r="P8" s="351">
        <f>'Grille tarifaire'!Q26</f>
        <v>159.96</v>
      </c>
    </row>
    <row r="9" spans="1:16" ht="15.75" thickBot="1" x14ac:dyDescent="0.3">
      <c r="A9" s="485"/>
      <c r="C9" s="333" t="s">
        <v>21</v>
      </c>
      <c r="D9" s="351">
        <f>'Grille tarifaire'!Q9</f>
        <v>7.4399999999999995</v>
      </c>
      <c r="E9" s="351">
        <f>'Grille tarifaire'!Q12</f>
        <v>7.4399999999999995</v>
      </c>
      <c r="G9" s="343" t="s">
        <v>21</v>
      </c>
      <c r="H9" s="351">
        <f>'Grille tarifaire'!Q15</f>
        <v>11.16</v>
      </c>
      <c r="J9" s="333" t="s">
        <v>21</v>
      </c>
      <c r="K9" s="351">
        <f>'Grille tarifaire'!Q18</f>
        <v>7.4399999999999995</v>
      </c>
      <c r="L9" s="351">
        <f>'Grille tarifaire'!Q21</f>
        <v>7.4399999999999995</v>
      </c>
      <c r="N9" s="333" t="s">
        <v>21</v>
      </c>
      <c r="O9" s="351">
        <f>'Grille tarifaire'!Q24</f>
        <v>11.16</v>
      </c>
      <c r="P9" s="351">
        <f>'Grille tarifaire'!Q27</f>
        <v>11.16</v>
      </c>
    </row>
    <row r="10" spans="1:16" ht="15.75" thickBot="1" x14ac:dyDescent="0.3"/>
    <row r="11" spans="1:16" ht="15.75" customHeight="1" thickBot="1" x14ac:dyDescent="0.3">
      <c r="A11" s="483" t="s">
        <v>251</v>
      </c>
      <c r="C11" s="333" t="s">
        <v>19</v>
      </c>
      <c r="D11" s="352">
        <f>'Grille tarifaire'!R7</f>
        <v>218.04000000000002</v>
      </c>
      <c r="E11" s="352">
        <f>'Grille tarifaire'!R10</f>
        <v>218.04000000000002</v>
      </c>
      <c r="G11" s="342" t="s">
        <v>19</v>
      </c>
      <c r="H11" s="352">
        <f>'Grille tarifaire'!R13</f>
        <v>327.12</v>
      </c>
      <c r="J11" s="333" t="s">
        <v>19</v>
      </c>
      <c r="K11" s="352">
        <f>'Grille tarifaire'!R16</f>
        <v>218.04000000000002</v>
      </c>
      <c r="L11" s="352">
        <f>'Grille tarifaire'!R19</f>
        <v>218.04000000000002</v>
      </c>
      <c r="N11" s="353"/>
      <c r="O11" s="354"/>
      <c r="P11" s="354"/>
    </row>
    <row r="12" spans="1:16" ht="15.75" thickBot="1" x14ac:dyDescent="0.3">
      <c r="A12" s="484"/>
      <c r="C12" s="333" t="s">
        <v>20</v>
      </c>
      <c r="D12" s="352">
        <f>'Grille tarifaire'!R8</f>
        <v>108.96000000000001</v>
      </c>
      <c r="E12" s="352">
        <f>'Grille tarifaire'!R11</f>
        <v>108.96000000000001</v>
      </c>
      <c r="G12" s="341" t="s">
        <v>20</v>
      </c>
      <c r="H12" s="352">
        <f>'Grille tarifaire'!R14</f>
        <v>163.56</v>
      </c>
      <c r="J12" s="333" t="s">
        <v>20</v>
      </c>
      <c r="K12" s="352">
        <f>'Grille tarifaire'!R17</f>
        <v>108.96000000000001</v>
      </c>
      <c r="L12" s="352">
        <f>'Grille tarifaire'!R20</f>
        <v>108.96000000000001</v>
      </c>
      <c r="N12" s="333" t="s">
        <v>20</v>
      </c>
      <c r="O12" s="352">
        <f>'Grille tarifaire'!R23</f>
        <v>163.56</v>
      </c>
      <c r="P12" s="352">
        <f>'Grille tarifaire'!R26</f>
        <v>163.56</v>
      </c>
    </row>
    <row r="13" spans="1:16" ht="15.75" thickBot="1" x14ac:dyDescent="0.3">
      <c r="A13" s="485"/>
      <c r="C13" s="333" t="s">
        <v>21</v>
      </c>
      <c r="D13" s="352">
        <f>'Grille tarifaire'!R9</f>
        <v>7.68</v>
      </c>
      <c r="E13" s="352">
        <f>'Grille tarifaire'!R12</f>
        <v>7.68</v>
      </c>
      <c r="G13" s="342" t="s">
        <v>21</v>
      </c>
      <c r="H13" s="352">
        <f>'Grille tarifaire'!R15</f>
        <v>11.399999999999999</v>
      </c>
      <c r="J13" s="333" t="s">
        <v>21</v>
      </c>
      <c r="K13" s="352">
        <f>'Grille tarifaire'!R18</f>
        <v>7.68</v>
      </c>
      <c r="L13" s="352">
        <f>'Grille tarifaire'!R21</f>
        <v>7.68</v>
      </c>
      <c r="N13" s="333" t="s">
        <v>21</v>
      </c>
      <c r="O13" s="352">
        <f>'Grille tarifaire'!R24</f>
        <v>11.399999999999999</v>
      </c>
      <c r="P13" s="352">
        <f>'Grille tarifaire'!R24</f>
        <v>11.399999999999999</v>
      </c>
    </row>
    <row r="14" spans="1:16" ht="15.75" thickBot="1" x14ac:dyDescent="0.3"/>
    <row r="15" spans="1:16" ht="15.75" customHeight="1" thickBot="1" x14ac:dyDescent="0.3">
      <c r="A15" s="483" t="s">
        <v>252</v>
      </c>
      <c r="C15" s="333" t="s">
        <v>19</v>
      </c>
      <c r="D15" s="352">
        <f>'Grille tarifaire'!S7</f>
        <v>232.20000000000002</v>
      </c>
      <c r="E15" s="352">
        <f>'Grille tarifaire'!S10</f>
        <v>232.20000000000002</v>
      </c>
      <c r="G15" s="343" t="s">
        <v>19</v>
      </c>
      <c r="H15" s="352">
        <f>'Grille tarifaire'!S13</f>
        <v>348.36</v>
      </c>
      <c r="J15" s="333" t="s">
        <v>19</v>
      </c>
      <c r="K15" s="352">
        <f>'Grille tarifaire'!S16</f>
        <v>232.20000000000002</v>
      </c>
      <c r="L15" s="352">
        <f>'Grille tarifaire'!S19</f>
        <v>232.20000000000002</v>
      </c>
      <c r="N15" s="353"/>
      <c r="O15" s="354"/>
      <c r="P15" s="354"/>
    </row>
    <row r="16" spans="1:16" ht="15.75" thickBot="1" x14ac:dyDescent="0.3">
      <c r="A16" s="484"/>
      <c r="C16" s="333" t="s">
        <v>20</v>
      </c>
      <c r="D16" s="352">
        <f>'Grille tarifaire'!S8</f>
        <v>116.16</v>
      </c>
      <c r="E16" s="352">
        <f>'Grille tarifaire'!S11</f>
        <v>116.16</v>
      </c>
      <c r="G16" s="341" t="s">
        <v>20</v>
      </c>
      <c r="H16" s="352">
        <f>'Grille tarifaire'!S14</f>
        <v>174.24</v>
      </c>
      <c r="J16" s="333" t="s">
        <v>20</v>
      </c>
      <c r="K16" s="352">
        <f>'Grille tarifaire'!S17</f>
        <v>116.16</v>
      </c>
      <c r="L16" s="352">
        <f>'Grille tarifaire'!S20</f>
        <v>116.16</v>
      </c>
      <c r="N16" s="333" t="s">
        <v>20</v>
      </c>
      <c r="O16" s="352">
        <f>'Grille tarifaire'!S23</f>
        <v>174.24</v>
      </c>
      <c r="P16" s="352">
        <f>'Grille tarifaire'!S26</f>
        <v>174.24</v>
      </c>
    </row>
    <row r="17" spans="1:16" ht="15.75" thickBot="1" x14ac:dyDescent="0.3">
      <c r="A17" s="485"/>
      <c r="C17" s="333" t="s">
        <v>21</v>
      </c>
      <c r="D17" s="352">
        <f>'Grille tarifaire'!S9</f>
        <v>8.16</v>
      </c>
      <c r="E17" s="352">
        <f>'Grille tarifaire'!S12</f>
        <v>8.16</v>
      </c>
      <c r="G17" s="343" t="s">
        <v>21</v>
      </c>
      <c r="H17" s="352">
        <f>'Grille tarifaire'!S15</f>
        <v>12.24</v>
      </c>
      <c r="J17" s="333" t="s">
        <v>21</v>
      </c>
      <c r="K17" s="352">
        <f>'Grille tarifaire'!S18</f>
        <v>8.16</v>
      </c>
      <c r="L17" s="352">
        <f>'Grille tarifaire'!S21</f>
        <v>8.16</v>
      </c>
      <c r="N17" s="333" t="s">
        <v>21</v>
      </c>
      <c r="O17" s="352">
        <f>'Grille tarifaire'!S24</f>
        <v>12.24</v>
      </c>
      <c r="P17" s="352">
        <f>'Grille tarifaire'!S27</f>
        <v>12.24</v>
      </c>
    </row>
    <row r="18" spans="1:16" ht="15.75" thickBot="1" x14ac:dyDescent="0.3"/>
    <row r="19" spans="1:16" ht="15.75" customHeight="1" thickBot="1" x14ac:dyDescent="0.3">
      <c r="A19" s="483" t="s">
        <v>253</v>
      </c>
      <c r="C19" s="333" t="s">
        <v>19</v>
      </c>
      <c r="D19" s="352">
        <f>'Grille tarifaire'!T7</f>
        <v>237.36</v>
      </c>
      <c r="E19" s="352">
        <f>'Grille tarifaire'!T10</f>
        <v>237.36</v>
      </c>
      <c r="G19" s="343" t="s">
        <v>19</v>
      </c>
      <c r="H19" s="352">
        <f>'Grille tarifaire'!T13</f>
        <v>355.92</v>
      </c>
      <c r="J19" s="333" t="s">
        <v>19</v>
      </c>
      <c r="K19" s="352">
        <f>'Grille tarifaire'!T16</f>
        <v>237.36</v>
      </c>
      <c r="L19" s="352">
        <f>'Grille tarifaire'!T19</f>
        <v>237.36</v>
      </c>
      <c r="N19" s="353"/>
      <c r="O19" s="354"/>
      <c r="P19" s="354"/>
    </row>
    <row r="20" spans="1:16" ht="15.75" thickBot="1" x14ac:dyDescent="0.3">
      <c r="A20" s="484"/>
      <c r="C20" s="333" t="s">
        <v>20</v>
      </c>
      <c r="D20" s="352">
        <f>'Grille tarifaire'!T8</f>
        <v>118.68</v>
      </c>
      <c r="E20" s="352">
        <f>'Grille tarifaire'!T11</f>
        <v>118.68</v>
      </c>
      <c r="G20" s="341" t="s">
        <v>20</v>
      </c>
      <c r="H20" s="352">
        <f>'Grille tarifaire'!T14</f>
        <v>177.96</v>
      </c>
      <c r="J20" s="333" t="s">
        <v>20</v>
      </c>
      <c r="K20" s="352">
        <f>'Grille tarifaire'!T17</f>
        <v>118.68</v>
      </c>
      <c r="L20" s="352">
        <f>'Grille tarifaire'!T20</f>
        <v>118.68</v>
      </c>
      <c r="N20" s="333" t="s">
        <v>20</v>
      </c>
      <c r="O20" s="352">
        <f>'Grille tarifaire'!T23</f>
        <v>177.96</v>
      </c>
      <c r="P20" s="352">
        <f>'Grille tarifaire'!T26</f>
        <v>177.96</v>
      </c>
    </row>
    <row r="21" spans="1:16" ht="15" customHeight="1" thickBot="1" x14ac:dyDescent="0.3">
      <c r="A21" s="485"/>
      <c r="C21" s="333" t="s">
        <v>21</v>
      </c>
      <c r="D21" s="352">
        <f>'Grille tarifaire'!T9</f>
        <v>8.2799999999999994</v>
      </c>
      <c r="E21" s="352">
        <f>'Grille tarifaire'!T12</f>
        <v>8.2799999999999994</v>
      </c>
      <c r="G21" s="343" t="s">
        <v>21</v>
      </c>
      <c r="H21" s="352">
        <f>'Grille tarifaire'!T15</f>
        <v>12.48</v>
      </c>
      <c r="J21" s="333" t="s">
        <v>21</v>
      </c>
      <c r="K21" s="352">
        <f>'Grille tarifaire'!T18</f>
        <v>8.2799999999999994</v>
      </c>
      <c r="L21" s="352">
        <f>'Grille tarifaire'!T21</f>
        <v>8.2799999999999994</v>
      </c>
      <c r="N21" s="333" t="s">
        <v>21</v>
      </c>
      <c r="O21" s="352">
        <f>'Grille tarifaire'!T24</f>
        <v>12.48</v>
      </c>
      <c r="P21" s="352">
        <f>'Grille tarifaire'!T27</f>
        <v>12.48</v>
      </c>
    </row>
    <row r="32" spans="1:16" ht="31.5" customHeight="1" x14ac:dyDescent="0.25"/>
    <row r="43" ht="28.5" customHeight="1" x14ac:dyDescent="0.25"/>
  </sheetData>
  <mergeCells count="8">
    <mergeCell ref="N4:P4"/>
    <mergeCell ref="A11:A13"/>
    <mergeCell ref="A15:A17"/>
    <mergeCell ref="A19:A21"/>
    <mergeCell ref="G4:H4"/>
    <mergeCell ref="C4:E4"/>
    <mergeCell ref="A7:A9"/>
    <mergeCell ref="J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E976D-9F7D-43DD-B4A6-A2E34A16C865}">
  <sheetPr>
    <tabColor theme="4"/>
  </sheetPr>
  <dimension ref="A1:J43"/>
  <sheetViews>
    <sheetView workbookViewId="0">
      <selection activeCell="F10" sqref="F10"/>
    </sheetView>
  </sheetViews>
  <sheetFormatPr baseColWidth="10" defaultColWidth="9.28515625" defaultRowHeight="15" x14ac:dyDescent="0.25"/>
  <cols>
    <col min="1" max="1" width="17.7109375" customWidth="1"/>
    <col min="2" max="2" width="4.28515625" customWidth="1"/>
    <col min="3" max="3" width="53.42578125" customWidth="1"/>
    <col min="4" max="4" width="4.42578125" customWidth="1"/>
    <col min="5" max="6" width="27" customWidth="1"/>
    <col min="7" max="7" width="23.7109375" customWidth="1"/>
    <col min="8" max="8" width="4.42578125" customWidth="1"/>
    <col min="9" max="9" width="53.42578125" customWidth="1"/>
  </cols>
  <sheetData>
    <row r="1" spans="1:10" x14ac:dyDescent="0.25">
      <c r="C1" s="338" t="s">
        <v>0</v>
      </c>
      <c r="E1" s="338"/>
      <c r="F1" s="338"/>
      <c r="I1" s="338"/>
    </row>
    <row r="2" spans="1:10" ht="24" x14ac:dyDescent="0.25">
      <c r="C2" s="344" t="s">
        <v>256</v>
      </c>
      <c r="E2" s="344"/>
      <c r="F2" s="344"/>
      <c r="I2" s="344"/>
    </row>
    <row r="4" spans="1:10" ht="25.15" customHeight="1" x14ac:dyDescent="0.25">
      <c r="C4" s="330" t="s">
        <v>257</v>
      </c>
      <c r="E4" s="449" t="s">
        <v>258</v>
      </c>
      <c r="F4" s="450"/>
      <c r="G4" s="450"/>
      <c r="I4" s="330" t="s">
        <v>429</v>
      </c>
    </row>
    <row r="5" spans="1:10" ht="15.75" thickBot="1" x14ac:dyDescent="0.3"/>
    <row r="6" spans="1:10" ht="27.75" thickBot="1" x14ac:dyDescent="0.3">
      <c r="B6" s="340"/>
      <c r="C6" s="348" t="s">
        <v>161</v>
      </c>
      <c r="E6" s="345" t="s">
        <v>259</v>
      </c>
      <c r="F6" s="349" t="s">
        <v>260</v>
      </c>
      <c r="G6" s="346" t="s">
        <v>261</v>
      </c>
      <c r="I6" s="348" t="s">
        <v>161</v>
      </c>
    </row>
    <row r="7" spans="1:10" ht="15.75" thickBot="1" x14ac:dyDescent="0.3">
      <c r="A7" s="483" t="s">
        <v>250</v>
      </c>
      <c r="C7" s="351">
        <f>'Grille tarifaire'!Q28</f>
        <v>1.44</v>
      </c>
      <c r="E7" s="343" t="s">
        <v>19</v>
      </c>
      <c r="F7" s="351" t="s">
        <v>162</v>
      </c>
      <c r="G7" s="351">
        <f>'Grille tarifaire'!Q29</f>
        <v>312.12</v>
      </c>
      <c r="I7" s="351">
        <f>'Grille tarifaire'!Q32</f>
        <v>49.800000000000004</v>
      </c>
    </row>
    <row r="8" spans="1:10" ht="15.75" thickBot="1" x14ac:dyDescent="0.3">
      <c r="A8" s="484"/>
      <c r="E8" s="341" t="s">
        <v>20</v>
      </c>
      <c r="F8" s="351" t="s">
        <v>162</v>
      </c>
      <c r="G8" s="351">
        <f>'Grille tarifaire'!Q30</f>
        <v>234.95999999999998</v>
      </c>
      <c r="I8" s="367">
        <f>I7/6</f>
        <v>8.3000000000000007</v>
      </c>
      <c r="J8" t="s">
        <v>430</v>
      </c>
    </row>
    <row r="9" spans="1:10" ht="15.75" thickBot="1" x14ac:dyDescent="0.3">
      <c r="A9" s="485"/>
      <c r="E9" s="343" t="s">
        <v>262</v>
      </c>
      <c r="F9" s="351" t="s">
        <v>163</v>
      </c>
      <c r="G9" s="351">
        <f>'Grille tarifaire'!Q31</f>
        <v>18.240000000000002</v>
      </c>
    </row>
    <row r="10" spans="1:10" ht="15.75" thickBot="1" x14ac:dyDescent="0.3"/>
    <row r="11" spans="1:10" ht="15.75" customHeight="1" thickBot="1" x14ac:dyDescent="0.3">
      <c r="A11" s="483" t="s">
        <v>251</v>
      </c>
      <c r="C11" s="333">
        <f>'Grille tarifaire'!R28</f>
        <v>1.44</v>
      </c>
      <c r="E11" s="342" t="s">
        <v>19</v>
      </c>
      <c r="F11" s="352" t="s">
        <v>162</v>
      </c>
      <c r="G11" s="352">
        <f>'Grille tarifaire'!R29</f>
        <v>319.20000000000005</v>
      </c>
      <c r="I11" s="333">
        <f>'Grille tarifaire'!R32</f>
        <v>50.88</v>
      </c>
    </row>
    <row r="12" spans="1:10" ht="15.75" thickBot="1" x14ac:dyDescent="0.3">
      <c r="A12" s="484"/>
      <c r="E12" s="341" t="s">
        <v>20</v>
      </c>
      <c r="F12" s="352" t="s">
        <v>162</v>
      </c>
      <c r="G12" s="352">
        <f>'Grille tarifaire'!R30</f>
        <v>240.24</v>
      </c>
      <c r="I12" s="367">
        <f>I11/6</f>
        <v>8.48</v>
      </c>
      <c r="J12" t="s">
        <v>430</v>
      </c>
    </row>
    <row r="13" spans="1:10" ht="15.75" thickBot="1" x14ac:dyDescent="0.3">
      <c r="A13" s="485"/>
      <c r="E13" s="342" t="s">
        <v>262</v>
      </c>
      <c r="F13" s="352" t="s">
        <v>163</v>
      </c>
      <c r="G13" s="352">
        <f>'Grille tarifaire'!R31</f>
        <v>18.600000000000001</v>
      </c>
    </row>
    <row r="14" spans="1:10" ht="15.75" thickBot="1" x14ac:dyDescent="0.3"/>
    <row r="15" spans="1:10" ht="15.75" customHeight="1" thickBot="1" x14ac:dyDescent="0.3">
      <c r="A15" s="483" t="s">
        <v>252</v>
      </c>
      <c r="C15" s="333">
        <f>'Grille tarifaire'!S28</f>
        <v>1.56</v>
      </c>
      <c r="E15" s="343" t="s">
        <v>19</v>
      </c>
      <c r="F15" s="352" t="s">
        <v>162</v>
      </c>
      <c r="G15" s="352">
        <f>'Grille tarifaire'!S29</f>
        <v>339.96</v>
      </c>
      <c r="I15" s="333">
        <f>'Grille tarifaire'!S32</f>
        <v>54.239999999999995</v>
      </c>
    </row>
    <row r="16" spans="1:10" ht="15.75" thickBot="1" x14ac:dyDescent="0.3">
      <c r="A16" s="484"/>
      <c r="E16" s="341" t="s">
        <v>20</v>
      </c>
      <c r="F16" s="352" t="s">
        <v>162</v>
      </c>
      <c r="G16" s="352">
        <f>'Grille tarifaire'!S30</f>
        <v>255.84</v>
      </c>
      <c r="I16" s="367">
        <f>I15/6</f>
        <v>9.0399999999999991</v>
      </c>
      <c r="J16" t="s">
        <v>430</v>
      </c>
    </row>
    <row r="17" spans="1:10" ht="15.75" thickBot="1" x14ac:dyDescent="0.3">
      <c r="A17" s="485"/>
      <c r="E17" s="343" t="s">
        <v>262</v>
      </c>
      <c r="F17" s="352" t="s">
        <v>163</v>
      </c>
      <c r="G17" s="352">
        <f>'Grille tarifaire'!S31</f>
        <v>19.919999999999998</v>
      </c>
    </row>
    <row r="18" spans="1:10" ht="15.75" thickBot="1" x14ac:dyDescent="0.3"/>
    <row r="19" spans="1:10" ht="15.75" customHeight="1" thickBot="1" x14ac:dyDescent="0.3">
      <c r="A19" s="483" t="s">
        <v>253</v>
      </c>
      <c r="C19" s="333">
        <f>'Grille tarifaire'!T28</f>
        <v>1.56</v>
      </c>
      <c r="E19" s="343" t="s">
        <v>19</v>
      </c>
      <c r="F19" s="352" t="s">
        <v>162</v>
      </c>
      <c r="G19" s="352">
        <f>'Grille tarifaire'!T29</f>
        <v>347.4</v>
      </c>
      <c r="I19" s="333">
        <f>'Grille tarifaire'!S32</f>
        <v>54.239999999999995</v>
      </c>
    </row>
    <row r="20" spans="1:10" ht="15.75" thickBot="1" x14ac:dyDescent="0.3">
      <c r="A20" s="484"/>
      <c r="E20" s="341" t="s">
        <v>20</v>
      </c>
      <c r="F20" s="352" t="s">
        <v>162</v>
      </c>
      <c r="G20" s="352">
        <f>'Grille tarifaire'!T30</f>
        <v>261.48</v>
      </c>
      <c r="I20" s="367">
        <f>I19/6</f>
        <v>9.0399999999999991</v>
      </c>
      <c r="J20" t="s">
        <v>430</v>
      </c>
    </row>
    <row r="21" spans="1:10" ht="15" customHeight="1" thickBot="1" x14ac:dyDescent="0.3">
      <c r="A21" s="485"/>
      <c r="E21" s="343" t="s">
        <v>262</v>
      </c>
      <c r="F21" s="352" t="s">
        <v>163</v>
      </c>
      <c r="G21" s="352">
        <f>'Grille tarifaire'!T31</f>
        <v>20.28</v>
      </c>
    </row>
    <row r="32" spans="1:10" ht="31.5" customHeight="1" x14ac:dyDescent="0.25"/>
    <row r="43" ht="28.5" customHeight="1" x14ac:dyDescent="0.25"/>
  </sheetData>
  <mergeCells count="5">
    <mergeCell ref="A15:A17"/>
    <mergeCell ref="A19:A21"/>
    <mergeCell ref="E4:G4"/>
    <mergeCell ref="A7:A9"/>
    <mergeCell ref="A11:A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NOTICE</vt:lpstr>
      <vt:lpstr>Equilibre prévisionnel</vt:lpstr>
      <vt:lpstr>IPC</vt:lpstr>
      <vt:lpstr>Montants réalisés</vt:lpstr>
      <vt:lpstr>CRCP &amp; Evolutions</vt:lpstr>
      <vt:lpstr>Rf et Ccard</vt:lpstr>
      <vt:lpstr>Grille tarifaire</vt:lpstr>
      <vt:lpstr>CG</vt:lpstr>
      <vt:lpstr>CC</vt:lpstr>
      <vt:lpstr>CI</vt:lpstr>
      <vt:lpstr>CS et CMDPS - HTA</vt:lpstr>
      <vt:lpstr>CS et CMDPS - BT&gt;36</vt:lpstr>
      <vt:lpstr>CS - BT&lt;36</vt:lpstr>
      <vt:lpstr>CACS</vt:lpstr>
      <vt:lpstr>CR</vt:lpstr>
      <vt:lpstr>CT</vt:lpstr>
      <vt:lpstr>CER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Poisson Jonathan</dc:creator>
  <cp:lastModifiedBy>Poisson Jonathan</cp:lastModifiedBy>
  <dcterms:created xsi:type="dcterms:W3CDTF">2022-03-02T15:19:49Z</dcterms:created>
  <dcterms:modified xsi:type="dcterms:W3CDTF">2023-06-07T14:33:57Z</dcterms:modified>
</cp:coreProperties>
</file>