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13_ncr:1_{AD789F17-5201-4D06-9D40-714A2A6CA0CC}" xr6:coauthVersionLast="47" xr6:coauthVersionMax="47" xr10:uidLastSave="{00000000-0000-0000-0000-000000000000}"/>
  <bookViews>
    <workbookView xWindow="28635" yWindow="-9525" windowWidth="16530" windowHeight="28410" tabRatio="744" firstSheet="5" activeTab="8" xr2:uid="{00000000-000D-0000-FFFF-FFFF00000000}"/>
  </bookViews>
  <sheets>
    <sheet name="Présentation" sheetId="18" r:id="rId1"/>
    <sheet name="Consommateurs types" sheetId="15" r:id="rId2"/>
    <sheet name="ATRD" sheetId="19" r:id="rId3"/>
    <sheet name="Transport &amp; stockage" sheetId="3" r:id="rId4"/>
    <sheet name="Coûts commerciaux" sheetId="21" r:id="rId5"/>
    <sheet name="Coûts d'approvisionnement" sheetId="23" r:id="rId6"/>
    <sheet name="Grille tarifaire HT" sheetId="9" r:id="rId7"/>
    <sheet name="Grille tarifaire TTC" sheetId="25" r:id="rId8"/>
    <sheet name="Grilles CP" sheetId="26" r:id="rId9"/>
  </sheets>
  <definedNames>
    <definedName name="_ftn1" localSheetId="5">'Coûts d''approvisionnement'!$B$27</definedName>
    <definedName name="_xlnm.Print_Area" localSheetId="2">ATRD!$B$2:$F$4</definedName>
    <definedName name="_xlnm.Print_Area" localSheetId="1">'Consommateurs types'!$B$2:$F$23</definedName>
    <definedName name="_xlnm.Print_Area" localSheetId="4">'Coûts commerciaux'!$B$2:$L$66</definedName>
    <definedName name="_xlnm.Print_Area" localSheetId="6">'Grille tarifaire HT'!$B$2:$E$49</definedName>
    <definedName name="_xlnm.Print_Area" localSheetId="7">'Grille tarifaire TTC'!$B$2:$E$72</definedName>
    <definedName name="_xlnm.Print_Area" localSheetId="0">Présentation!$A$2:$I$26</definedName>
    <definedName name="_xlnm.Print_Area" localSheetId="3">'Transport &amp; stockage'!$B$2:$E$3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3" l="1"/>
  <c r="D20" i="23"/>
  <c r="C19" i="23"/>
  <c r="C18" i="23"/>
  <c r="C17" i="23"/>
  <c r="E2" i="23" l="1"/>
  <c r="C16" i="23"/>
  <c r="C15" i="23"/>
  <c r="C14" i="23"/>
  <c r="C13" i="23"/>
  <c r="C12" i="23"/>
  <c r="C11" i="23"/>
  <c r="C10" i="23"/>
  <c r="C9" i="23"/>
  <c r="C8" i="23"/>
  <c r="C7" i="23"/>
  <c r="C6" i="23"/>
  <c r="M59" i="26"/>
  <c r="M54" i="26"/>
  <c r="M44" i="26"/>
  <c r="M24" i="26"/>
  <c r="C24" i="25"/>
  <c r="M4" i="26" l="1"/>
  <c r="C7" i="25"/>
  <c r="Q6" i="25" l="1"/>
  <c r="O6" i="25"/>
  <c r="J17" i="25"/>
  <c r="J16" i="25"/>
  <c r="I17" i="25"/>
  <c r="I16" i="25"/>
  <c r="F104" i="26"/>
  <c r="F99" i="26"/>
  <c r="F94" i="26"/>
  <c r="F89" i="26"/>
  <c r="F84" i="26"/>
  <c r="F79" i="26"/>
  <c r="F74" i="26"/>
  <c r="F64" i="26"/>
  <c r="F59" i="26"/>
  <c r="F54" i="26"/>
  <c r="F49" i="26"/>
  <c r="F44" i="26"/>
  <c r="F39" i="26"/>
  <c r="F34" i="26"/>
  <c r="F29" i="26"/>
  <c r="F24" i="26"/>
  <c r="F19" i="26"/>
  <c r="F14" i="26"/>
  <c r="F9" i="26"/>
  <c r="F4" i="26"/>
  <c r="O15" i="9" l="1"/>
  <c r="AB7" i="9" s="1"/>
  <c r="D109" i="26"/>
  <c r="D104" i="26"/>
  <c r="D99" i="26"/>
  <c r="D94" i="26"/>
  <c r="D89" i="26"/>
  <c r="D84" i="26"/>
  <c r="D79" i="26"/>
  <c r="D74" i="26"/>
  <c r="D64" i="26"/>
  <c r="D59" i="26"/>
  <c r="D54" i="26"/>
  <c r="D49" i="26"/>
  <c r="D44" i="26"/>
  <c r="D39" i="26"/>
  <c r="D34" i="26"/>
  <c r="D29" i="26"/>
  <c r="D24" i="26"/>
  <c r="D19" i="26"/>
  <c r="D14" i="26"/>
  <c r="D9" i="26"/>
  <c r="D4" i="26"/>
  <c r="F65" i="26" l="1"/>
  <c r="F109" i="26"/>
  <c r="C14" i="9"/>
  <c r="E15" i="9"/>
  <c r="I14" i="9" l="1"/>
  <c r="P6" i="9" s="1"/>
  <c r="D69" i="26" l="1"/>
  <c r="F69" i="26"/>
  <c r="D35" i="26"/>
  <c r="M35" i="26" s="1"/>
  <c r="O109" i="26"/>
  <c r="M109" i="26"/>
  <c r="O104" i="26"/>
  <c r="M104" i="26"/>
  <c r="O99" i="26"/>
  <c r="M99" i="26"/>
  <c r="O94" i="26"/>
  <c r="M94" i="26"/>
  <c r="O79" i="26"/>
  <c r="M79" i="26"/>
  <c r="O74" i="26"/>
  <c r="M74" i="26"/>
  <c r="O64" i="26"/>
  <c r="M64" i="26"/>
  <c r="O59" i="26"/>
  <c r="O54" i="26"/>
  <c r="O44" i="26"/>
  <c r="O39" i="26"/>
  <c r="M39" i="26"/>
  <c r="M34" i="26"/>
  <c r="O29" i="26"/>
  <c r="M29" i="26"/>
  <c r="M19" i="26"/>
  <c r="M14" i="26"/>
  <c r="O9" i="26"/>
  <c r="M9" i="26"/>
  <c r="O4" i="26"/>
  <c r="E35" i="26"/>
  <c r="N35" i="26" s="1"/>
  <c r="M69" i="26" l="1"/>
  <c r="M49" i="26"/>
  <c r="M89" i="26"/>
  <c r="M84" i="26"/>
  <c r="O14" i="26"/>
  <c r="O19" i="26"/>
  <c r="O24" i="26"/>
  <c r="O34" i="26"/>
  <c r="O49" i="26"/>
  <c r="O69" i="26"/>
  <c r="O84" i="26"/>
  <c r="O89" i="26"/>
  <c r="F15" i="9"/>
  <c r="D14" i="9"/>
  <c r="D15" i="25"/>
  <c r="X15" i="9"/>
  <c r="X14" i="9"/>
  <c r="AT6" i="9" s="1"/>
  <c r="J15" i="9"/>
  <c r="R7" i="9" s="1"/>
  <c r="J14" i="9"/>
  <c r="D15" i="9"/>
  <c r="X13" i="9"/>
  <c r="D13" i="9"/>
  <c r="M17" i="25"/>
  <c r="L17" i="25"/>
  <c r="X17" i="25"/>
  <c r="C17" i="25"/>
  <c r="D17" i="25"/>
  <c r="G9" i="26" s="1"/>
  <c r="P9" i="26" s="1"/>
  <c r="E17" i="25"/>
  <c r="F17" i="25"/>
  <c r="G19" i="26" s="1"/>
  <c r="P19" i="26" s="1"/>
  <c r="G17" i="25"/>
  <c r="H17" i="25"/>
  <c r="G29" i="26" s="1"/>
  <c r="P29" i="26" s="1"/>
  <c r="G34" i="26"/>
  <c r="P34" i="26" s="1"/>
  <c r="K17" i="25"/>
  <c r="G44" i="26" s="1"/>
  <c r="P44" i="26" s="1"/>
  <c r="N17" i="25"/>
  <c r="G59" i="26" s="1"/>
  <c r="P59" i="26" s="1"/>
  <c r="O17" i="25"/>
  <c r="G64" i="26" s="1"/>
  <c r="P64" i="26" s="1"/>
  <c r="P17" i="25"/>
  <c r="G69" i="26" s="1"/>
  <c r="P69" i="26" s="1"/>
  <c r="Q17" i="25"/>
  <c r="G74" i="26" s="1"/>
  <c r="P74" i="26" s="1"/>
  <c r="R17" i="25"/>
  <c r="G79" i="26" s="1"/>
  <c r="P79" i="26" s="1"/>
  <c r="S17" i="25"/>
  <c r="G84" i="26" s="1"/>
  <c r="P84" i="26" s="1"/>
  <c r="T17" i="25"/>
  <c r="U17" i="25"/>
  <c r="V17" i="25"/>
  <c r="G99" i="26" s="1"/>
  <c r="P99" i="26" s="1"/>
  <c r="W17" i="25"/>
  <c r="X16" i="25"/>
  <c r="E109" i="26" s="1"/>
  <c r="N109" i="26" s="1"/>
  <c r="M16" i="25"/>
  <c r="E54" i="26" s="1"/>
  <c r="N54" i="26" s="1"/>
  <c r="N16" i="25"/>
  <c r="E59" i="26" s="1"/>
  <c r="N59" i="26" s="1"/>
  <c r="O16" i="25"/>
  <c r="E64" i="26" s="1"/>
  <c r="N64" i="26" s="1"/>
  <c r="P16" i="25"/>
  <c r="Q16" i="25"/>
  <c r="E74" i="26" s="1"/>
  <c r="N74" i="26" s="1"/>
  <c r="R16" i="25"/>
  <c r="S16" i="25"/>
  <c r="T16" i="25"/>
  <c r="E89" i="26" s="1"/>
  <c r="N89" i="26" s="1"/>
  <c r="U16" i="25"/>
  <c r="E94" i="26" s="1"/>
  <c r="N94" i="26" s="1"/>
  <c r="V16" i="25"/>
  <c r="E99" i="26" s="1"/>
  <c r="N99" i="26" s="1"/>
  <c r="W16" i="25"/>
  <c r="E104" i="26" s="1"/>
  <c r="N104" i="26" s="1"/>
  <c r="L16" i="25"/>
  <c r="E49" i="26" s="1"/>
  <c r="N49" i="26" s="1"/>
  <c r="K16" i="25"/>
  <c r="E44" i="26" s="1"/>
  <c r="N44" i="26" s="1"/>
  <c r="E39" i="26"/>
  <c r="N39" i="26" s="1"/>
  <c r="E34" i="26"/>
  <c r="N34" i="26" s="1"/>
  <c r="H16" i="25"/>
  <c r="E29" i="26" s="1"/>
  <c r="N29" i="26" s="1"/>
  <c r="G16" i="25"/>
  <c r="F16" i="25"/>
  <c r="E19" i="26" s="1"/>
  <c r="N19" i="26" s="1"/>
  <c r="E16" i="25"/>
  <c r="E14" i="26" s="1"/>
  <c r="N14" i="26" s="1"/>
  <c r="D16" i="25"/>
  <c r="C16" i="25"/>
  <c r="E4" i="26" s="1"/>
  <c r="N4" i="26" s="1"/>
  <c r="W15" i="9"/>
  <c r="T15" i="9"/>
  <c r="M14" i="9"/>
  <c r="N14" i="9"/>
  <c r="O14" i="9"/>
  <c r="P14" i="9"/>
  <c r="Q14" i="9"/>
  <c r="R14" i="9"/>
  <c r="AH6" i="9" s="1"/>
  <c r="S14" i="9"/>
  <c r="T14" i="9"/>
  <c r="AL6" i="9" s="1"/>
  <c r="U14" i="9"/>
  <c r="V14" i="9"/>
  <c r="W14" i="9"/>
  <c r="M15" i="9"/>
  <c r="N15" i="9"/>
  <c r="P15" i="9"/>
  <c r="Q15" i="9"/>
  <c r="R15" i="9"/>
  <c r="AH7" i="9" s="1"/>
  <c r="S15" i="9"/>
  <c r="U15" i="9"/>
  <c r="V15" i="9"/>
  <c r="L15" i="9"/>
  <c r="L14" i="9"/>
  <c r="K15" i="9"/>
  <c r="K14" i="9"/>
  <c r="I15" i="9"/>
  <c r="P7" i="9" s="1"/>
  <c r="P6" i="25"/>
  <c r="H15" i="9"/>
  <c r="H14" i="9"/>
  <c r="G15" i="9"/>
  <c r="G14" i="9"/>
  <c r="F14" i="9"/>
  <c r="E14" i="9"/>
  <c r="C15" i="9"/>
  <c r="C6" i="21"/>
  <c r="C5" i="21"/>
  <c r="F40" i="26" l="1"/>
  <c r="O40" i="26" s="1"/>
  <c r="G109" i="26"/>
  <c r="P109" i="26" s="1"/>
  <c r="F80" i="26"/>
  <c r="O80" i="26" s="1"/>
  <c r="F35" i="26"/>
  <c r="O35" i="26" s="1"/>
  <c r="E79" i="26"/>
  <c r="N79" i="26" s="1"/>
  <c r="AG6" i="25"/>
  <c r="D90" i="26"/>
  <c r="M90" i="26" s="1"/>
  <c r="D80" i="26"/>
  <c r="M80" i="26" s="1"/>
  <c r="D6" i="9"/>
  <c r="E84" i="26"/>
  <c r="N84" i="26" s="1"/>
  <c r="G14" i="26"/>
  <c r="P14" i="26" s="1"/>
  <c r="L7" i="9"/>
  <c r="V7" i="9"/>
  <c r="H7" i="9"/>
  <c r="AD6" i="9"/>
  <c r="AL7" i="9"/>
  <c r="G24" i="26"/>
  <c r="P24" i="26" s="1"/>
  <c r="AJ6" i="9"/>
  <c r="E69" i="26"/>
  <c r="N69" i="26" s="1"/>
  <c r="G89" i="26"/>
  <c r="P89" i="26" s="1"/>
  <c r="AM7" i="25"/>
  <c r="G49" i="26"/>
  <c r="P49" i="26" s="1"/>
  <c r="G94" i="26"/>
  <c r="P94" i="26" s="1"/>
  <c r="G4" i="26"/>
  <c r="P4" i="26" s="1"/>
  <c r="E9" i="26"/>
  <c r="N9" i="26" s="1"/>
  <c r="G39" i="26"/>
  <c r="P39" i="26" s="1"/>
  <c r="G104" i="26"/>
  <c r="P104" i="26" s="1"/>
  <c r="G54" i="26"/>
  <c r="P54" i="26" s="1"/>
  <c r="O65" i="26"/>
  <c r="AP6" i="9"/>
  <c r="Z6" i="9"/>
  <c r="F7" i="9"/>
  <c r="AT7" i="9"/>
  <c r="H6" i="9"/>
  <c r="G35" i="26"/>
  <c r="P35" i="26" s="1"/>
  <c r="Z7" i="9"/>
  <c r="AN6" i="9"/>
  <c r="AF6" i="9"/>
  <c r="X6" i="9"/>
  <c r="R6" i="9"/>
  <c r="N6" i="9"/>
  <c r="AP7" i="9"/>
  <c r="AF7" i="9"/>
  <c r="X7" i="9"/>
  <c r="AL6" i="25"/>
  <c r="E90" i="26"/>
  <c r="N90" i="26" s="1"/>
  <c r="F6" i="9"/>
  <c r="D7" i="9"/>
  <c r="J6" i="9"/>
  <c r="N7" i="9"/>
  <c r="AN7" i="9"/>
  <c r="AR6" i="9"/>
  <c r="AB6" i="9"/>
  <c r="AR7" i="9"/>
  <c r="K6" i="25"/>
  <c r="E24" i="26"/>
  <c r="N24" i="26" s="1"/>
  <c r="L6" i="9"/>
  <c r="J7" i="9"/>
  <c r="T6" i="9"/>
  <c r="K7" i="25"/>
  <c r="T7" i="9"/>
  <c r="AD7" i="9"/>
  <c r="V6" i="9"/>
  <c r="AJ7" i="9"/>
  <c r="G6" i="25"/>
  <c r="AQ6" i="25"/>
  <c r="AI6" i="25"/>
  <c r="AA6" i="25"/>
  <c r="AQ7" i="25"/>
  <c r="W7" i="25"/>
  <c r="AI7" i="25"/>
  <c r="AA7" i="25"/>
  <c r="O7" i="25"/>
  <c r="G7" i="25"/>
  <c r="I6" i="25"/>
  <c r="AO6" i="25"/>
  <c r="Y6" i="25"/>
  <c r="AO7" i="25"/>
  <c r="AG7" i="25"/>
  <c r="Y7" i="25"/>
  <c r="M7" i="25"/>
  <c r="E7" i="25"/>
  <c r="C6" i="25"/>
  <c r="S6" i="25"/>
  <c r="AM6" i="25"/>
  <c r="AE6" i="25"/>
  <c r="W6" i="25"/>
  <c r="U7" i="25"/>
  <c r="AE7" i="25"/>
  <c r="S7" i="25"/>
  <c r="E6" i="25"/>
  <c r="M6" i="25"/>
  <c r="U6" i="25"/>
  <c r="AK6" i="25"/>
  <c r="AC6" i="25"/>
  <c r="AS6" i="25"/>
  <c r="AK7" i="25"/>
  <c r="AC7" i="25"/>
  <c r="Q7" i="25"/>
  <c r="I7" i="25"/>
  <c r="AS7" i="25"/>
  <c r="F25" i="26" l="1"/>
  <c r="O25" i="26" s="1"/>
  <c r="F15" i="26"/>
  <c r="O15" i="26" s="1"/>
  <c r="F20" i="26"/>
  <c r="O20" i="26" s="1"/>
  <c r="F110" i="26"/>
  <c r="O110" i="26" s="1"/>
  <c r="F70" i="26"/>
  <c r="O70" i="26" s="1"/>
  <c r="F100" i="26"/>
  <c r="O100" i="26" s="1"/>
  <c r="F60" i="26"/>
  <c r="O60" i="26" s="1"/>
  <c r="F55" i="26"/>
  <c r="O55" i="26" s="1"/>
  <c r="F85" i="26"/>
  <c r="O85" i="26" s="1"/>
  <c r="F105" i="26"/>
  <c r="O105" i="26" s="1"/>
  <c r="F95" i="26"/>
  <c r="O95" i="26" s="1"/>
  <c r="F75" i="26"/>
  <c r="O75" i="26" s="1"/>
  <c r="F90" i="26"/>
  <c r="O90" i="26" s="1"/>
  <c r="F50" i="26"/>
  <c r="O50" i="26" s="1"/>
  <c r="F45" i="26"/>
  <c r="O45" i="26" s="1"/>
  <c r="F30" i="26"/>
  <c r="O30" i="26" s="1"/>
  <c r="F10" i="26"/>
  <c r="O10" i="26" s="1"/>
  <c r="F5" i="26"/>
  <c r="O5" i="26" s="1"/>
  <c r="L7" i="25"/>
  <c r="H7" i="25"/>
  <c r="D45" i="26"/>
  <c r="M45" i="26" s="1"/>
  <c r="D25" i="26"/>
  <c r="M25" i="26" s="1"/>
  <c r="D105" i="26"/>
  <c r="M105" i="26" s="1"/>
  <c r="D20" i="26"/>
  <c r="M20" i="26" s="1"/>
  <c r="D15" i="26"/>
  <c r="M15" i="26" s="1"/>
  <c r="D100" i="26"/>
  <c r="M100" i="26" s="1"/>
  <c r="D50" i="26"/>
  <c r="M50" i="26" s="1"/>
  <c r="D55" i="26"/>
  <c r="M55" i="26" s="1"/>
  <c r="D85" i="26"/>
  <c r="M85" i="26" s="1"/>
  <c r="D10" i="26"/>
  <c r="M10" i="26" s="1"/>
  <c r="D40" i="26"/>
  <c r="M40" i="26" s="1"/>
  <c r="D75" i="26"/>
  <c r="M75" i="26" s="1"/>
  <c r="D5" i="26"/>
  <c r="M5" i="26" s="1"/>
  <c r="D95" i="26"/>
  <c r="M95" i="26" s="1"/>
  <c r="D110" i="26"/>
  <c r="M110" i="26" s="1"/>
  <c r="D65" i="26"/>
  <c r="M65" i="26" s="1"/>
  <c r="D30" i="26"/>
  <c r="M30" i="26" s="1"/>
  <c r="D60" i="26"/>
  <c r="M60" i="26" s="1"/>
  <c r="D70" i="26"/>
  <c r="M70" i="26" s="1"/>
  <c r="E70" i="26"/>
  <c r="N70" i="26" s="1"/>
  <c r="AD6" i="25"/>
  <c r="G25" i="26"/>
  <c r="P25" i="26" s="1"/>
  <c r="G90" i="26"/>
  <c r="P90" i="26" s="1"/>
  <c r="AL7" i="25"/>
  <c r="AJ6" i="25"/>
  <c r="V7" i="25"/>
  <c r="G15" i="26"/>
  <c r="P15" i="26" s="1"/>
  <c r="P7" i="25"/>
  <c r="E85" i="26"/>
  <c r="N85" i="26" s="1"/>
  <c r="G50" i="26"/>
  <c r="P50" i="26" s="1"/>
  <c r="AH7" i="25"/>
  <c r="G80" i="26"/>
  <c r="P80" i="26" s="1"/>
  <c r="R7" i="25"/>
  <c r="G40" i="26"/>
  <c r="P40" i="26" s="1"/>
  <c r="X7" i="25"/>
  <c r="G55" i="26"/>
  <c r="P55" i="26" s="1"/>
  <c r="N6" i="25"/>
  <c r="E30" i="26"/>
  <c r="N30" i="26" s="1"/>
  <c r="J7" i="25"/>
  <c r="G20" i="26"/>
  <c r="P20" i="26" s="1"/>
  <c r="AH6" i="25"/>
  <c r="E80" i="26"/>
  <c r="N80" i="26" s="1"/>
  <c r="AP7" i="25"/>
  <c r="G100" i="26"/>
  <c r="P100" i="26" s="1"/>
  <c r="AJ7" i="25"/>
  <c r="G85" i="26"/>
  <c r="P85" i="26" s="1"/>
  <c r="T7" i="25"/>
  <c r="G45" i="26"/>
  <c r="P45" i="26" s="1"/>
  <c r="AT6" i="25"/>
  <c r="E110" i="26"/>
  <c r="N110" i="26" s="1"/>
  <c r="AB6" i="25"/>
  <c r="E65" i="26"/>
  <c r="N65" i="26" s="1"/>
  <c r="AR6" i="25"/>
  <c r="E105" i="26"/>
  <c r="N105" i="26" s="1"/>
  <c r="J6" i="25"/>
  <c r="E20" i="26"/>
  <c r="N20" i="26" s="1"/>
  <c r="R6" i="25"/>
  <c r="E40" i="26"/>
  <c r="N40" i="26" s="1"/>
  <c r="AF6" i="25"/>
  <c r="E75" i="26"/>
  <c r="N75" i="26" s="1"/>
  <c r="Z7" i="25"/>
  <c r="G60" i="26"/>
  <c r="P60" i="26" s="1"/>
  <c r="AT7" i="25"/>
  <c r="G110" i="26"/>
  <c r="P110" i="26" s="1"/>
  <c r="Z6" i="25"/>
  <c r="E60" i="26"/>
  <c r="N60" i="26" s="1"/>
  <c r="AB7" i="25"/>
  <c r="G65" i="26"/>
  <c r="P65" i="26" s="1"/>
  <c r="V6" i="25"/>
  <c r="E50" i="26"/>
  <c r="N50" i="26" s="1"/>
  <c r="F6" i="25"/>
  <c r="E10" i="26"/>
  <c r="N10" i="26" s="1"/>
  <c r="AF7" i="25"/>
  <c r="G75" i="26"/>
  <c r="P75" i="26" s="1"/>
  <c r="AD7" i="25"/>
  <c r="G70" i="26"/>
  <c r="P70" i="26" s="1"/>
  <c r="T6" i="25"/>
  <c r="E45" i="26"/>
  <c r="N45" i="26" s="1"/>
  <c r="AR7" i="25"/>
  <c r="G105" i="26"/>
  <c r="P105" i="26" s="1"/>
  <c r="AN7" i="25"/>
  <c r="G95" i="26"/>
  <c r="P95" i="26" s="1"/>
  <c r="N7" i="25"/>
  <c r="G30" i="26"/>
  <c r="P30" i="26" s="1"/>
  <c r="D7" i="25"/>
  <c r="G5" i="26"/>
  <c r="P5" i="26" s="1"/>
  <c r="X6" i="25"/>
  <c r="E55" i="26"/>
  <c r="N55" i="26" s="1"/>
  <c r="AN6" i="25"/>
  <c r="E95" i="26"/>
  <c r="N95" i="26" s="1"/>
  <c r="H6" i="25"/>
  <c r="E15" i="26"/>
  <c r="N15" i="26" s="1"/>
  <c r="F7" i="25"/>
  <c r="G10" i="26"/>
  <c r="P10" i="26" s="1"/>
  <c r="AP6" i="25"/>
  <c r="E100" i="26"/>
  <c r="N100" i="26" s="1"/>
  <c r="D6" i="25"/>
  <c r="E5" i="26"/>
  <c r="N5" i="26" s="1"/>
  <c r="L6" i="25"/>
  <c r="E25" i="26"/>
  <c r="N25" i="26" s="1"/>
</calcChain>
</file>

<file path=xl/sharedStrings.xml><?xml version="1.0" encoding="utf-8"?>
<sst xmlns="http://schemas.openxmlformats.org/spreadsheetml/2006/main" count="545" uniqueCount="88">
  <si>
    <t>Description</t>
  </si>
  <si>
    <t>Acronymes utilisés</t>
  </si>
  <si>
    <t>Contact</t>
  </si>
  <si>
    <t>opendata@cre.fr</t>
  </si>
  <si>
    <t>Tarif GRDF</t>
  </si>
  <si>
    <t>T1</t>
  </si>
  <si>
    <t>T2</t>
  </si>
  <si>
    <t>CTA</t>
  </si>
  <si>
    <t>TVA part fixe</t>
  </si>
  <si>
    <t>TVA part variable</t>
  </si>
  <si>
    <t>TICGN</t>
  </si>
  <si>
    <t>Contribution tarifaire d'acheminement</t>
  </si>
  <si>
    <t>TICGN (€/MWh)</t>
  </si>
  <si>
    <t>Taxe intérieure de consommation sur le gaz naturel</t>
  </si>
  <si>
    <t>Segment tarifaire</t>
  </si>
  <si>
    <t>Profil GRDF</t>
  </si>
  <si>
    <t>Consommateur</t>
  </si>
  <si>
    <t>Chauffage</t>
  </si>
  <si>
    <t>Consommateur type</t>
  </si>
  <si>
    <t>Consommation annuelle de référence (MWh/an)</t>
  </si>
  <si>
    <t>Cuisson/eau chaude</t>
  </si>
  <si>
    <t>Rémunération en €/MWh</t>
  </si>
  <si>
    <t>P012</t>
  </si>
  <si>
    <t>P011</t>
  </si>
  <si>
    <t>Fraix d'accès au marché (€/MWh)</t>
  </si>
  <si>
    <t>Brique de risque (€/MWh)</t>
  </si>
  <si>
    <t>Coûts des CEE (€/MWh)</t>
  </si>
  <si>
    <t>Coût commerciaux hors CEE (€/an)</t>
  </si>
  <si>
    <t>Coûts de commercialisation et autres</t>
  </si>
  <si>
    <t>Coûts transport &amp; stockage</t>
  </si>
  <si>
    <t>Coûts d'approvisionnement</t>
  </si>
  <si>
    <t>Données relatives à la construction du prix repère de vente de gaz de la  CRE</t>
  </si>
  <si>
    <r>
      <t>Le fichier présenté ici a pour objectif de détailler les hypothèses de construction du prix repère de vente de gaz décrit dans la délibération de la CRE du</t>
    </r>
    <r>
      <rPr>
        <b/>
        <sz val="11"/>
        <color rgb="FFFF0000"/>
        <rFont val="Franklin Gothic Book"/>
        <family val="2"/>
      </rPr>
      <t xml:space="preserve"> </t>
    </r>
    <r>
      <rPr>
        <sz val="11"/>
        <rFont val="Franklin Gothic Book"/>
        <family val="2"/>
      </rPr>
      <t>12 avril 2023 n°2023-102</t>
    </r>
  </si>
  <si>
    <t>Référence de coûts d'approvisionnement (€/MWh)</t>
  </si>
  <si>
    <t>Vialis</t>
  </si>
  <si>
    <t>Gédia</t>
  </si>
  <si>
    <t>Caléo</t>
  </si>
  <si>
    <t>Gaz de Barr</t>
  </si>
  <si>
    <t>Régiongaz</t>
  </si>
  <si>
    <t>Sorégies</t>
  </si>
  <si>
    <t>Tarif commun</t>
  </si>
  <si>
    <t>Abonnement annuel avec Rf</t>
  </si>
  <si>
    <t>Prix proportionnel (€/MWh)</t>
  </si>
  <si>
    <t>Energis</t>
  </si>
  <si>
    <t>Bazas</t>
  </si>
  <si>
    <t>Bonneville</t>
  </si>
  <si>
    <t>Sallanches</t>
  </si>
  <si>
    <t>La réole</t>
  </si>
  <si>
    <t>Synelva</t>
  </si>
  <si>
    <t>Gaz de Bordeaux</t>
  </si>
  <si>
    <t>* Anciennes et nouvelles concessions</t>
  </si>
  <si>
    <t>Gaz et Electricité Grenoble</t>
  </si>
  <si>
    <t>Energie et Services de Seyssel</t>
  </si>
  <si>
    <t>Energie et Services Lannemazan</t>
  </si>
  <si>
    <t>Gascogne Energie Service</t>
  </si>
  <si>
    <t>Ene'o</t>
  </si>
  <si>
    <t>Gazélec de Peronne</t>
  </si>
  <si>
    <t>Energie Service Lavaur</t>
  </si>
  <si>
    <t>NB : Les coûts d'approvisionnement correspondent à la référence de coût d’approvisionnement définie par l’arrêté du 18 avril 2023 pris sur proposition de la CRE et disponibles ici : https://www.cre.fr/L-energie-et-vous/reference-de-couts-d-approvisionnement-du-gaz.</t>
  </si>
  <si>
    <t>Energies de Strasbourg (anciennes concessions)</t>
  </si>
  <si>
    <t>Gaz et Electricité de Grenoble</t>
  </si>
  <si>
    <t>Energies de Strasbourg nouvelles concessions</t>
  </si>
  <si>
    <t>Abonnement annuel (€/an)</t>
  </si>
  <si>
    <t>Energies Services Lavaur</t>
  </si>
  <si>
    <t>Valeur du CP</t>
  </si>
  <si>
    <t>Distribution</t>
  </si>
  <si>
    <t>Transport</t>
  </si>
  <si>
    <t>Détail calcul CTA</t>
  </si>
  <si>
    <t>Taxes en vigueur au 1er juillet 2023</t>
  </si>
  <si>
    <t>Electricité de Strasbourg nouvelles concessions</t>
  </si>
  <si>
    <t>Electricité de Strasbourg (anciennes concessions)</t>
  </si>
  <si>
    <t>Electricité de Strasbourg*</t>
  </si>
  <si>
    <t>Electricité de Strasbourg (nouvelles concessions)</t>
  </si>
  <si>
    <t>Energie et Services Lannemezan</t>
  </si>
  <si>
    <t>HT</t>
  </si>
  <si>
    <t>TTC</t>
  </si>
  <si>
    <t>Electricité de Strasbourg - nouvelles concessions</t>
  </si>
  <si>
    <t>Prix proportionnel (€/kWh)</t>
  </si>
  <si>
    <t>Facture annuelle théorique HT avec coûts d'approvisionnement -ATRD 2022/23</t>
  </si>
  <si>
    <t>ES Strasbourg (nouvelles concessions)</t>
  </si>
  <si>
    <t>ES Strasbourg (anciennes concessions)</t>
  </si>
  <si>
    <t>Facture annuelle HT</t>
  </si>
  <si>
    <t>Conformément à la méthodologie définie par la CRE, les parts fixes sont calées sur celles du TRVG théorique de l'ELD actuellement en vigueur pour les options B0 d'une part et B1 d'autre part. 
Les parts variables sont adaptées en conséquence sur la base de la facture annuelle théorique HT calculée ci-dessous.</t>
  </si>
  <si>
    <t>Valeur du mois en cours</t>
  </si>
  <si>
    <t>Coûts de distribution : ATRD 2023-2024</t>
  </si>
  <si>
    <t>NB : Basés sur l'ATRT et coût du stockage 2024-2025. Prochaine évolution au 1er avril 2025.</t>
  </si>
  <si>
    <r>
      <t>Grilles tarifaires HT PRVG au</t>
    </r>
    <r>
      <rPr>
        <b/>
        <sz val="16"/>
        <color rgb="FFFF0000"/>
        <rFont val="Calibri"/>
        <family val="2"/>
        <scheme val="minor"/>
      </rPr>
      <t xml:space="preserve"> 1er juin 2024</t>
    </r>
  </si>
  <si>
    <r>
      <t xml:space="preserve">Grilles tarifaires TTC PRVG au </t>
    </r>
    <r>
      <rPr>
        <b/>
        <sz val="16"/>
        <color rgb="FFFF0000"/>
        <rFont val="Calibri"/>
        <family val="2"/>
        <scheme val="minor"/>
      </rPr>
      <t>1er juin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</si>
</sst>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0.00\ &quot;€&quot;"/>
    <numFmt numFmtId="166" formatCode="0.000%"/>
    <numFmt numFmtId="167" formatCode="0.0%"/>
    <numFmt numFmtId="168" formatCode="0.00000"/>
  </numFmts>
  <fonts count="37" x14ac:knownFonts="1">
    <font>
      <sz val="10"/>
      <color theme="1"/>
      <name val="Franklin Gothic Book"/>
      <family val="2"/>
    </font>
    <font>
      <sz val="11"/>
      <color theme="1"/>
      <name val="Calibri"/>
      <family val="2"/>
      <scheme val="minor"/>
    </font>
    <font>
      <sz val="11"/>
      <color theme="1"/>
      <name val="Calibri"/>
      <family val="2"/>
      <scheme val="minor"/>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u/>
      <sz val="10"/>
      <color theme="10"/>
      <name val="Franklin Gothic Book"/>
      <family val="2"/>
    </font>
    <font>
      <u/>
      <sz val="11"/>
      <color theme="10"/>
      <name val="Franklin Gothic Book"/>
      <family val="2"/>
    </font>
    <font>
      <i/>
      <sz val="10"/>
      <color theme="1"/>
      <name val="Franklin Gothic Book"/>
      <family val="2"/>
    </font>
    <font>
      <b/>
      <sz val="10"/>
      <color theme="1"/>
      <name val="Franklin Gothic Book"/>
      <family val="2"/>
    </font>
    <font>
      <b/>
      <sz val="11"/>
      <color rgb="FFFF0000"/>
      <name val="Franklin Gothic Book"/>
      <family val="2"/>
    </font>
    <font>
      <b/>
      <sz val="10"/>
      <color rgb="FFFF0000"/>
      <name val="Franklin Gothic Book"/>
      <family val="2"/>
    </font>
    <font>
      <sz val="10"/>
      <name val="Franklin Gothic Book"/>
      <family val="2"/>
    </font>
    <font>
      <sz val="11"/>
      <name val="Franklin Gothic Book"/>
      <family val="2"/>
    </font>
    <font>
      <i/>
      <sz val="10"/>
      <name val="Franklin Gothic Book"/>
      <family val="2"/>
    </font>
    <font>
      <b/>
      <sz val="8"/>
      <color theme="1"/>
      <name val="Franklin Gothic Book"/>
      <family val="2"/>
    </font>
    <font>
      <b/>
      <sz val="8"/>
      <name val="Franklin Gothic Book"/>
      <family val="2"/>
    </font>
    <font>
      <b/>
      <sz val="11"/>
      <name val="Calibri"/>
      <family val="2"/>
      <scheme val="minor"/>
    </font>
    <font>
      <b/>
      <sz val="16"/>
      <name val="Calibri"/>
      <family val="2"/>
      <scheme val="minor"/>
    </font>
    <font>
      <sz val="9"/>
      <color theme="1"/>
      <name val="Calibri"/>
      <family val="2"/>
      <scheme val="minor"/>
    </font>
    <font>
      <b/>
      <sz val="16"/>
      <color rgb="FFFF0000"/>
      <name val="Calibri"/>
      <family val="2"/>
      <scheme val="minor"/>
    </font>
    <font>
      <sz val="10"/>
      <name val="Arial"/>
      <family val="2"/>
    </font>
    <font>
      <sz val="11"/>
      <color indexed="8"/>
      <name val="Calibri"/>
      <family val="2"/>
    </font>
    <font>
      <sz val="10"/>
      <color theme="1"/>
      <name val="Calibri"/>
      <family val="2"/>
    </font>
    <font>
      <sz val="10"/>
      <color rgb="FFFFFFFF"/>
      <name val="Franklin Gothic Book"/>
      <family val="2"/>
    </font>
    <font>
      <sz val="10"/>
      <color rgb="FF000000"/>
      <name val="Franklin Gothic Book"/>
      <family val="2"/>
    </font>
    <font>
      <sz val="9"/>
      <color theme="1"/>
      <name val="Franklin Gothic Book"/>
      <family val="2"/>
    </font>
    <font>
      <sz val="9"/>
      <color rgb="FFFFFFFF"/>
      <name val="Franklin Gothic Book"/>
      <family val="2"/>
    </font>
    <font>
      <sz val="12"/>
      <color theme="1"/>
      <name val="Franklin Gothic Book"/>
      <family val="2"/>
    </font>
    <font>
      <b/>
      <sz val="12"/>
      <color theme="1"/>
      <name val="Franklin Gothic Book"/>
      <family val="2"/>
    </font>
  </fonts>
  <fills count="5">
    <fill>
      <patternFill patternType="none"/>
    </fill>
    <fill>
      <patternFill patternType="gray125"/>
    </fill>
    <fill>
      <patternFill patternType="solid">
        <fgColor rgb="FF429188"/>
        <bgColor indexed="64"/>
      </patternFill>
    </fill>
    <fill>
      <patternFill patternType="solid">
        <fgColor rgb="FFACD9D4"/>
        <bgColor indexed="64"/>
      </patternFill>
    </fill>
    <fill>
      <patternFill patternType="solid">
        <fgColor rgb="FFD5ECE9"/>
        <bgColor indexed="64"/>
      </patternFill>
    </fill>
  </fills>
  <borders count="43">
    <border>
      <left/>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right/>
      <top/>
      <bottom style="medium">
        <color indexed="64"/>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rgb="FFFFFFFF"/>
      </left>
      <right/>
      <top/>
      <bottom style="medium">
        <color rgb="FFFFFFFF"/>
      </bottom>
      <diagonal/>
    </border>
  </borders>
  <cellStyleXfs count="17">
    <xf numFmtId="0" fontId="0" fillId="0" borderId="0"/>
    <xf numFmtId="164" fontId="3" fillId="0" borderId="0" applyFon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3" fillId="0" borderId="0"/>
    <xf numFmtId="0" fontId="13" fillId="0" borderId="0" applyNumberFormat="0" applyFill="0" applyBorder="0" applyAlignment="0" applyProtection="0"/>
    <xf numFmtId="9" fontId="3" fillId="0" borderId="0" applyFont="0" applyFill="0" applyBorder="0" applyAlignment="0" applyProtection="0"/>
    <xf numFmtId="0" fontId="28" fillId="0" borderId="0"/>
    <xf numFmtId="164" fontId="28" fillId="0" borderId="0" applyFont="0" applyFill="0" applyBorder="0" applyAlignment="0" applyProtection="0"/>
    <xf numFmtId="0" fontId="29" fillId="0" borderId="0"/>
    <xf numFmtId="9" fontId="28" fillId="0" borderId="0" applyFont="0" applyFill="0" applyBorder="0" applyAlignment="0" applyProtection="0"/>
    <xf numFmtId="0" fontId="2" fillId="0" borderId="0"/>
    <xf numFmtId="0" fontId="28" fillId="0" borderId="0"/>
    <xf numFmtId="0" fontId="30" fillId="0" borderId="0"/>
    <xf numFmtId="0" fontId="30" fillId="0" borderId="0"/>
    <xf numFmtId="9" fontId="28" fillId="0" borderId="0" applyFont="0" applyFill="0" applyBorder="0" applyAlignment="0" applyProtection="0"/>
    <xf numFmtId="0" fontId="1" fillId="0" borderId="0"/>
  </cellStyleXfs>
  <cellXfs count="158">
    <xf numFmtId="0" fontId="0" fillId="0" borderId="0" xfId="0"/>
    <xf numFmtId="0" fontId="3" fillId="0" borderId="0" xfId="4"/>
    <xf numFmtId="0" fontId="12" fillId="0" borderId="0" xfId="4" applyFont="1" applyAlignment="1">
      <alignment horizontal="left" vertical="top" wrapText="1"/>
    </xf>
    <xf numFmtId="0" fontId="3" fillId="0" borderId="0" xfId="4" applyAlignment="1">
      <alignment vertical="top"/>
    </xf>
    <xf numFmtId="0" fontId="4"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5" fillId="0" borderId="0" xfId="0" applyFont="1" applyAlignment="1">
      <alignment horizontal="center" vertical="center"/>
    </xf>
    <xf numFmtId="10" fontId="0" fillId="0" borderId="0" xfId="0" applyNumberForma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2" fontId="0" fillId="0" borderId="0" xfId="0" applyNumberFormat="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15" fillId="0" borderId="0" xfId="0" applyFont="1" applyAlignment="1">
      <alignment horizontal="left" vertical="center"/>
    </xf>
    <xf numFmtId="0" fontId="0" fillId="0" borderId="9" xfId="0" applyBorder="1" applyAlignment="1">
      <alignment horizontal="center" vertical="center"/>
    </xf>
    <xf numFmtId="0" fontId="12" fillId="0" borderId="0" xfId="4" applyFont="1" applyAlignment="1">
      <alignment vertical="top"/>
    </xf>
    <xf numFmtId="0" fontId="18" fillId="0" borderId="0" xfId="0" applyFont="1"/>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5" fillId="0" borderId="0" xfId="0" applyFont="1" applyAlignment="1">
      <alignment horizontal="center" vertical="center"/>
    </xf>
    <xf numFmtId="0" fontId="16" fillId="0" borderId="0" xfId="0" applyFont="1"/>
    <xf numFmtId="0" fontId="0" fillId="0" borderId="13" xfId="0" applyBorder="1"/>
    <xf numFmtId="0" fontId="0" fillId="0" borderId="0" xfId="0" applyAlignment="1">
      <alignment horizontal="center"/>
    </xf>
    <xf numFmtId="0" fontId="7" fillId="0" borderId="0" xfId="0" applyFont="1" applyAlignment="1">
      <alignment horizontal="center"/>
    </xf>
    <xf numFmtId="0" fontId="4" fillId="0" borderId="0" xfId="0" applyFont="1" applyAlignment="1">
      <alignment horizontal="left"/>
    </xf>
    <xf numFmtId="0" fontId="21" fillId="0" borderId="0" xfId="0" applyFont="1" applyAlignment="1">
      <alignment horizontal="center" vertical="center"/>
    </xf>
    <xf numFmtId="0" fontId="19" fillId="0" borderId="0" xfId="0" applyFont="1" applyAlignment="1">
      <alignment horizontal="center" vertical="center"/>
    </xf>
    <xf numFmtId="0" fontId="23" fillId="0" borderId="1" xfId="0" applyFont="1" applyBorder="1" applyAlignment="1">
      <alignment horizontal="center" vertical="center" wrapText="1"/>
    </xf>
    <xf numFmtId="0" fontId="23" fillId="0" borderId="12" xfId="0" applyFont="1" applyBorder="1" applyAlignment="1">
      <alignment horizontal="center" vertical="center" wrapText="1"/>
    </xf>
    <xf numFmtId="0" fontId="15" fillId="0" borderId="0" xfId="0" applyFont="1" applyAlignment="1">
      <alignment horizontal="center" vertical="center" wrapText="1"/>
    </xf>
    <xf numFmtId="0" fontId="22" fillId="0" borderId="9" xfId="0" applyFont="1" applyBorder="1" applyAlignment="1">
      <alignment horizontal="center" vertical="center"/>
    </xf>
    <xf numFmtId="164" fontId="0" fillId="0" borderId="0" xfId="0" applyNumberFormat="1" applyAlignment="1">
      <alignment horizontal="center"/>
    </xf>
    <xf numFmtId="0" fontId="15" fillId="0" borderId="0" xfId="0" applyFont="1"/>
    <xf numFmtId="0" fontId="15" fillId="0" borderId="0" xfId="0" applyFont="1" applyAlignment="1">
      <alignment horizontal="left"/>
    </xf>
    <xf numFmtId="0" fontId="16" fillId="0" borderId="9" xfId="0" applyFont="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2" fontId="0" fillId="0" borderId="16" xfId="0" applyNumberFormat="1" applyBorder="1" applyAlignment="1">
      <alignment horizontal="center" vertical="center"/>
    </xf>
    <xf numFmtId="2" fontId="0" fillId="0" borderId="17" xfId="0" applyNumberFormat="1" applyBorder="1" applyAlignment="1">
      <alignment horizontal="center" vertical="center"/>
    </xf>
    <xf numFmtId="0" fontId="23" fillId="0" borderId="9" xfId="0" applyFont="1" applyBorder="1" applyAlignment="1">
      <alignment horizontal="center" vertical="center" wrapText="1"/>
    </xf>
    <xf numFmtId="0" fontId="0" fillId="0" borderId="3" xfId="0" applyBorder="1" applyAlignment="1">
      <alignment horizontal="center" vertical="center"/>
    </xf>
    <xf numFmtId="0" fontId="16" fillId="0" borderId="13" xfId="0" applyFont="1" applyBorder="1" applyAlignment="1">
      <alignment horizontal="center" vertical="center"/>
    </xf>
    <xf numFmtId="0" fontId="0" fillId="0" borderId="9" xfId="0" applyBorder="1"/>
    <xf numFmtId="0" fontId="16" fillId="0" borderId="13" xfId="0" applyFont="1" applyBorder="1"/>
    <xf numFmtId="0" fontId="25" fillId="0" borderId="0" xfId="0" applyFont="1" applyAlignment="1">
      <alignment vertical="center"/>
    </xf>
    <xf numFmtId="0" fontId="0" fillId="0" borderId="20" xfId="0" applyBorder="1" applyAlignment="1">
      <alignment horizontal="center"/>
    </xf>
    <xf numFmtId="2" fontId="0" fillId="0" borderId="21" xfId="0" applyNumberFormat="1" applyBorder="1" applyAlignment="1">
      <alignment horizontal="center" vertical="center"/>
    </xf>
    <xf numFmtId="0" fontId="0" fillId="0" borderId="21" xfId="0" applyBorder="1" applyAlignment="1">
      <alignment horizontal="center"/>
    </xf>
    <xf numFmtId="0" fontId="0" fillId="0" borderId="21" xfId="0" applyBorder="1" applyAlignment="1">
      <alignment horizontal="center" vertical="center"/>
    </xf>
    <xf numFmtId="0" fontId="0" fillId="0" borderId="23" xfId="0" applyBorder="1" applyAlignment="1">
      <alignment horizontal="center" vertical="center"/>
    </xf>
    <xf numFmtId="2" fontId="0" fillId="0" borderId="24" xfId="0" applyNumberFormat="1"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xf>
    <xf numFmtId="0" fontId="0" fillId="0" borderId="26" xfId="0" applyBorder="1" applyAlignment="1">
      <alignment horizontal="center" vertical="center"/>
    </xf>
    <xf numFmtId="0" fontId="0" fillId="0" borderId="27" xfId="0" applyBorder="1" applyAlignment="1">
      <alignment horizontal="center" vertical="center"/>
    </xf>
    <xf numFmtId="0" fontId="16" fillId="0" borderId="13" xfId="0" applyFont="1" applyBorder="1" applyAlignment="1">
      <alignment horizontal="center"/>
    </xf>
    <xf numFmtId="0" fontId="26" fillId="0" borderId="0" xfId="0" applyFont="1" applyAlignment="1">
      <alignment horizont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10" fontId="26" fillId="0" borderId="24" xfId="0" applyNumberFormat="1" applyFont="1" applyBorder="1" applyAlignment="1">
      <alignment horizontal="center" vertical="center"/>
    </xf>
    <xf numFmtId="166" fontId="26" fillId="0" borderId="24" xfId="6" applyNumberFormat="1" applyFont="1" applyBorder="1" applyAlignment="1">
      <alignment horizontal="center" vertical="center"/>
    </xf>
    <xf numFmtId="166" fontId="26" fillId="0" borderId="25" xfId="6" applyNumberFormat="1" applyFont="1" applyBorder="1" applyAlignment="1">
      <alignment horizontal="center" vertical="center"/>
    </xf>
    <xf numFmtId="165" fontId="0" fillId="0" borderId="21" xfId="0" applyNumberFormat="1" applyBorder="1" applyAlignment="1">
      <alignment horizontal="center" vertical="center"/>
    </xf>
    <xf numFmtId="165" fontId="0" fillId="0" borderId="22" xfId="0" applyNumberFormat="1" applyBorder="1" applyAlignment="1">
      <alignment horizontal="center" vertical="center"/>
    </xf>
    <xf numFmtId="165" fontId="0" fillId="0" borderId="24" xfId="0" applyNumberFormat="1" applyBorder="1" applyAlignment="1">
      <alignment horizontal="center" vertical="center"/>
    </xf>
    <xf numFmtId="165" fontId="0" fillId="0" borderId="25" xfId="0" applyNumberFormat="1" applyBorder="1" applyAlignment="1">
      <alignment horizontal="center" vertical="center"/>
    </xf>
    <xf numFmtId="165" fontId="0" fillId="0" borderId="30" xfId="0" applyNumberFormat="1" applyBorder="1" applyAlignment="1">
      <alignment horizontal="center" vertical="center"/>
    </xf>
    <xf numFmtId="165" fontId="0" fillId="0" borderId="31" xfId="0" applyNumberFormat="1" applyBorder="1" applyAlignment="1">
      <alignment horizontal="center" vertical="center"/>
    </xf>
    <xf numFmtId="0" fontId="0" fillId="0" borderId="32" xfId="0" applyBorder="1" applyAlignment="1">
      <alignment horizontal="center"/>
    </xf>
    <xf numFmtId="167" fontId="0" fillId="0" borderId="16" xfId="6" applyNumberFormat="1" applyFont="1" applyBorder="1" applyAlignment="1">
      <alignment vertical="center"/>
    </xf>
    <xf numFmtId="9" fontId="0" fillId="0" borderId="33" xfId="6" applyFont="1" applyBorder="1" applyAlignment="1">
      <alignment vertical="center"/>
    </xf>
    <xf numFmtId="2" fontId="0" fillId="0" borderId="17" xfId="0" applyNumberFormat="1" applyBorder="1" applyAlignment="1">
      <alignment vertical="center"/>
    </xf>
    <xf numFmtId="2" fontId="0" fillId="0" borderId="22" xfId="0" applyNumberFormat="1" applyBorder="1" applyAlignment="1">
      <alignment horizontal="center" vertical="center"/>
    </xf>
    <xf numFmtId="2" fontId="0" fillId="0" borderId="25" xfId="0" applyNumberFormat="1" applyBorder="1" applyAlignment="1">
      <alignment horizontal="center" vertical="center"/>
    </xf>
    <xf numFmtId="0" fontId="31" fillId="2" borderId="36" xfId="0" applyFont="1" applyFill="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2" fontId="0" fillId="0" borderId="41" xfId="0" applyNumberFormat="1" applyBorder="1" applyAlignment="1">
      <alignment horizontal="center" vertical="center"/>
    </xf>
    <xf numFmtId="2" fontId="0" fillId="0" borderId="19" xfId="0" applyNumberFormat="1" applyBorder="1" applyAlignment="1">
      <alignment horizontal="center" vertical="center"/>
    </xf>
    <xf numFmtId="2" fontId="0" fillId="0" borderId="40" xfId="0" applyNumberFormat="1" applyBorder="1" applyAlignment="1">
      <alignment horizontal="center"/>
    </xf>
    <xf numFmtId="2" fontId="0" fillId="0" borderId="20" xfId="0" applyNumberFormat="1" applyBorder="1" applyAlignment="1">
      <alignment horizontal="center"/>
    </xf>
    <xf numFmtId="2" fontId="0" fillId="0" borderId="29" xfId="0" applyNumberFormat="1" applyBorder="1" applyAlignment="1">
      <alignment horizontal="center" vertical="center"/>
    </xf>
    <xf numFmtId="2" fontId="0" fillId="0" borderId="0" xfId="0" applyNumberFormat="1"/>
    <xf numFmtId="2" fontId="0" fillId="0" borderId="21" xfId="0" applyNumberFormat="1" applyBorder="1" applyAlignment="1">
      <alignment horizontal="center"/>
    </xf>
    <xf numFmtId="2" fontId="0" fillId="0" borderId="26" xfId="0" applyNumberFormat="1" applyBorder="1" applyAlignment="1">
      <alignment horizontal="center"/>
    </xf>
    <xf numFmtId="0" fontId="33" fillId="0" borderId="0" xfId="0" applyFont="1"/>
    <xf numFmtId="0" fontId="34" fillId="2" borderId="35"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4" fillId="2" borderId="39" xfId="0" applyFont="1" applyFill="1" applyBorder="1" applyAlignment="1">
      <alignment horizontal="center" vertical="center" wrapText="1"/>
    </xf>
    <xf numFmtId="2" fontId="32" fillId="3" borderId="38" xfId="0" applyNumberFormat="1" applyFont="1" applyFill="1" applyBorder="1" applyAlignment="1">
      <alignment horizontal="center" vertical="center" wrapText="1"/>
    </xf>
    <xf numFmtId="168" fontId="32" fillId="4" borderId="39" xfId="0" applyNumberFormat="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27" fillId="0" borderId="0" xfId="0" applyFont="1" applyAlignment="1">
      <alignment vertical="center"/>
    </xf>
    <xf numFmtId="0" fontId="0" fillId="0" borderId="0" xfId="0" applyAlignment="1">
      <alignment vertical="center" wrapText="1"/>
    </xf>
    <xf numFmtId="0" fontId="4" fillId="0" borderId="0" xfId="0" applyFont="1" applyAlignment="1">
      <alignment vertical="center" wrapText="1"/>
    </xf>
    <xf numFmtId="0" fontId="16" fillId="0" borderId="0" xfId="0" applyFont="1" applyAlignment="1">
      <alignment horizontal="center" vertical="center" wrapText="1"/>
    </xf>
    <xf numFmtId="0" fontId="24" fillId="0" borderId="0" xfId="0" applyFont="1" applyAlignment="1">
      <alignment horizontal="center" vertical="center" wrapText="1"/>
    </xf>
    <xf numFmtId="0" fontId="16" fillId="0" borderId="0" xfId="0" applyFont="1" applyAlignment="1">
      <alignment horizontal="center"/>
    </xf>
    <xf numFmtId="0" fontId="35" fillId="0" borderId="0" xfId="0" applyFont="1" applyAlignment="1">
      <alignment horizontal="center"/>
    </xf>
    <xf numFmtId="0" fontId="35" fillId="0" borderId="0" xfId="0" applyFont="1" applyAlignment="1">
      <alignment horizontal="center" vertical="center"/>
    </xf>
    <xf numFmtId="0" fontId="35" fillId="0" borderId="27" xfId="0" applyFont="1" applyBorder="1" applyAlignment="1">
      <alignment horizontal="center" vertical="center"/>
    </xf>
    <xf numFmtId="165" fontId="35" fillId="0" borderId="20" xfId="0" applyNumberFormat="1" applyFont="1" applyBorder="1" applyAlignment="1">
      <alignment vertical="center"/>
    </xf>
    <xf numFmtId="165" fontId="35" fillId="0" borderId="21" xfId="0" applyNumberFormat="1" applyFont="1" applyBorder="1" applyAlignment="1">
      <alignment vertical="center"/>
    </xf>
    <xf numFmtId="165" fontId="35" fillId="0" borderId="22" xfId="0" applyNumberFormat="1" applyFont="1" applyBorder="1" applyAlignment="1">
      <alignment vertical="center"/>
    </xf>
    <xf numFmtId="2" fontId="35" fillId="0" borderId="15" xfId="0" applyNumberFormat="1" applyFont="1" applyBorder="1" applyAlignment="1">
      <alignment horizontal="center" vertical="center"/>
    </xf>
    <xf numFmtId="44" fontId="35" fillId="0" borderId="23" xfId="0" applyNumberFormat="1" applyFont="1" applyBorder="1" applyAlignment="1">
      <alignment vertical="center"/>
    </xf>
    <xf numFmtId="44" fontId="35" fillId="0" borderId="24" xfId="0" applyNumberFormat="1" applyFont="1" applyBorder="1" applyAlignment="1">
      <alignment vertical="center"/>
    </xf>
    <xf numFmtId="44" fontId="35" fillId="0" borderId="25" xfId="0" applyNumberFormat="1" applyFont="1" applyBorder="1" applyAlignment="1">
      <alignment vertical="center"/>
    </xf>
    <xf numFmtId="0" fontId="35" fillId="0" borderId="0" xfId="0" applyFont="1" applyAlignment="1">
      <alignment horizontal="center" wrapText="1"/>
    </xf>
    <xf numFmtId="0" fontId="35" fillId="0" borderId="9" xfId="0" applyFont="1" applyBorder="1" applyAlignment="1">
      <alignment horizont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2" fontId="0" fillId="0" borderId="10" xfId="0" applyNumberFormat="1" applyBorder="1"/>
    <xf numFmtId="0" fontId="15" fillId="0" borderId="9" xfId="0" applyFont="1" applyBorder="1"/>
    <xf numFmtId="2" fontId="15" fillId="0" borderId="5" xfId="0" applyNumberFormat="1" applyFont="1" applyBorder="1"/>
    <xf numFmtId="2" fontId="0" fillId="0" borderId="11" xfId="0" applyNumberFormat="1" applyBorder="1"/>
    <xf numFmtId="17" fontId="16" fillId="0" borderId="1" xfId="0" applyNumberFormat="1" applyFont="1" applyBorder="1"/>
    <xf numFmtId="17" fontId="16" fillId="0" borderId="3" xfId="0" applyNumberFormat="1" applyFont="1" applyBorder="1"/>
    <xf numFmtId="17" fontId="16" fillId="0" borderId="4" xfId="0" applyNumberFormat="1" applyFont="1" applyBorder="1"/>
    <xf numFmtId="168" fontId="0" fillId="0" borderId="0" xfId="0" applyNumberFormat="1"/>
    <xf numFmtId="17" fontId="16" fillId="0" borderId="10" xfId="0" applyNumberFormat="1" applyFont="1" applyBorder="1"/>
    <xf numFmtId="168" fontId="32" fillId="0" borderId="38" xfId="0" applyNumberFormat="1" applyFont="1" applyBorder="1" applyAlignment="1">
      <alignment horizontal="center" vertical="center" wrapText="1"/>
    </xf>
    <xf numFmtId="2" fontId="0" fillId="0" borderId="13" xfId="0" applyNumberFormat="1" applyBorder="1"/>
    <xf numFmtId="0" fontId="11" fillId="0" borderId="8" xfId="3" applyFont="1" applyAlignment="1">
      <alignment vertical="center"/>
    </xf>
    <xf numFmtId="0" fontId="14" fillId="0" borderId="0" xfId="5" applyFont="1" applyAlignment="1">
      <alignment vertical="top"/>
    </xf>
    <xf numFmtId="0" fontId="12" fillId="0" borderId="0" xfId="4" applyFont="1" applyAlignment="1">
      <alignment vertical="top"/>
    </xf>
    <xf numFmtId="0" fontId="10" fillId="0" borderId="0" xfId="2" applyFont="1" applyBorder="1" applyAlignment="1">
      <alignment horizontal="center" vertical="center" wrapText="1"/>
    </xf>
    <xf numFmtId="0" fontId="10" fillId="0" borderId="7" xfId="2" applyFont="1" applyAlignment="1">
      <alignment horizontal="center" vertical="center" wrapText="1"/>
    </xf>
    <xf numFmtId="0" fontId="11" fillId="0" borderId="8" xfId="3" applyFont="1" applyAlignment="1">
      <alignment horizontal="left" vertical="center"/>
    </xf>
    <xf numFmtId="0" fontId="12" fillId="0" borderId="0" xfId="4" applyFont="1" applyAlignment="1">
      <alignment horizontal="left" vertical="top"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0" fillId="0" borderId="0" xfId="0" applyAlignment="1">
      <alignment horizontal="left" vertical="center"/>
    </xf>
    <xf numFmtId="0" fontId="15" fillId="0" borderId="34" xfId="0" applyFont="1" applyBorder="1" applyAlignment="1">
      <alignment horizontal="center" wrapText="1"/>
    </xf>
    <xf numFmtId="0" fontId="0" fillId="0" borderId="34" xfId="0" applyBorder="1" applyAlignment="1">
      <alignment horizontal="center"/>
    </xf>
    <xf numFmtId="0" fontId="16" fillId="0" borderId="6"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xf>
    <xf numFmtId="0" fontId="16" fillId="0" borderId="5" xfId="0" applyFont="1" applyBorder="1" applyAlignment="1">
      <alignment horizontal="center"/>
    </xf>
    <xf numFmtId="0" fontId="16" fillId="0" borderId="2" xfId="0" applyFont="1" applyBorder="1" applyAlignment="1">
      <alignment horizontal="center"/>
    </xf>
    <xf numFmtId="0" fontId="16" fillId="0" borderId="5" xfId="0" applyFont="1" applyBorder="1" applyAlignment="1">
      <alignment horizontal="center" vertical="center"/>
    </xf>
    <xf numFmtId="164" fontId="16" fillId="0" borderId="6" xfId="1" applyFont="1" applyBorder="1" applyAlignment="1">
      <alignment horizontal="center"/>
    </xf>
    <xf numFmtId="164" fontId="16" fillId="0" borderId="2" xfId="1" applyFont="1" applyBorder="1" applyAlignment="1">
      <alignment horizontal="center"/>
    </xf>
    <xf numFmtId="164" fontId="16" fillId="0" borderId="5" xfId="1" applyFont="1" applyBorder="1" applyAlignment="1">
      <alignment horizontal="center"/>
    </xf>
    <xf numFmtId="0" fontId="15" fillId="0" borderId="0" xfId="0" applyFont="1" applyAlignment="1">
      <alignment horizontal="left" wrapText="1"/>
    </xf>
    <xf numFmtId="0" fontId="26" fillId="0" borderId="0" xfId="0" applyFont="1" applyAlignment="1">
      <alignment horizontal="center"/>
    </xf>
    <xf numFmtId="0" fontId="0" fillId="0" borderId="28" xfId="0" applyBorder="1" applyAlignment="1">
      <alignment horizontal="center" vertical="center"/>
    </xf>
    <xf numFmtId="0" fontId="0" fillId="0" borderId="29" xfId="0" applyBorder="1" applyAlignment="1">
      <alignment horizontal="center" vertical="center"/>
    </xf>
    <xf numFmtId="0" fontId="31" fillId="2" borderId="36" xfId="0" applyFont="1" applyFill="1"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16" fillId="0" borderId="9" xfId="0" applyFont="1" applyBorder="1" applyAlignment="1">
      <alignment horizontal="center" vertical="center" wrapText="1"/>
    </xf>
    <xf numFmtId="0" fontId="24" fillId="0" borderId="9" xfId="0" applyFont="1" applyBorder="1" applyAlignment="1">
      <alignment horizontal="center" vertical="center" wrapText="1"/>
    </xf>
  </cellXfs>
  <cellStyles count="17">
    <cellStyle name="Lien hypertexte" xfId="5" builtinId="8"/>
    <cellStyle name="Milliers" xfId="1" builtinId="3"/>
    <cellStyle name="Milliers 2" xfId="8" xr:uid="{2598DCAC-F7CB-4FF5-B887-63A14896CF8F}"/>
    <cellStyle name="Normal" xfId="0" builtinId="0"/>
    <cellStyle name="Normal 2" xfId="4" xr:uid="{00000000-0005-0000-0000-000003000000}"/>
    <cellStyle name="Normal 2 2" xfId="9" xr:uid="{E338D67D-302D-49EB-8E6A-B6CA839127B2}"/>
    <cellStyle name="Normal 3" xfId="11" xr:uid="{5A662135-CACE-4FB8-B896-CB046152D7CD}"/>
    <cellStyle name="Normal 3 2" xfId="12" xr:uid="{AF1B9770-92FB-4C8A-8458-474DC902AAA7}"/>
    <cellStyle name="Normal 3 3" xfId="16" xr:uid="{033DA9D3-0A9F-443A-BB35-32E4EAFC996D}"/>
    <cellStyle name="Normal 4" xfId="13" xr:uid="{0DA45F2B-6E6D-45E1-8A30-6360AE3EC0B5}"/>
    <cellStyle name="Normal 4 2" xfId="14" xr:uid="{03BD1A88-0A1B-4216-AB45-A6C99E557581}"/>
    <cellStyle name="Normal 5" xfId="7" xr:uid="{FC323BB3-AE70-4FB7-AFE3-33C8D364FB60}"/>
    <cellStyle name="Pourcentage" xfId="6" builtinId="5"/>
    <cellStyle name="Pourcentage 2" xfId="15" xr:uid="{0BE502C5-23DB-4608-B99B-869F0A7AC39E}"/>
    <cellStyle name="Pourcentage 3" xfId="10" xr:uid="{2D124847-9943-4487-BE7D-AA7EC34B5A8F}"/>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I27"/>
  <sheetViews>
    <sheetView showGridLines="0" zoomScale="90" zoomScaleNormal="90" workbookViewId="0">
      <selection activeCell="H29" sqref="H29"/>
    </sheetView>
  </sheetViews>
  <sheetFormatPr baseColWidth="10" defaultColWidth="11" defaultRowHeight="13.5" x14ac:dyDescent="0.35"/>
  <cols>
    <col min="1" max="11" width="11" style="1"/>
    <col min="12" max="12" width="0" style="1" hidden="1" customWidth="1"/>
    <col min="13" max="16384" width="11" style="1"/>
  </cols>
  <sheetData>
    <row r="5" spans="2:8" ht="14.25" customHeight="1" x14ac:dyDescent="0.35">
      <c r="C5" s="131" t="s">
        <v>31</v>
      </c>
      <c r="D5" s="131"/>
      <c r="E5" s="131"/>
      <c r="F5" s="131"/>
      <c r="G5" s="131"/>
      <c r="H5" s="131"/>
    </row>
    <row r="6" spans="2:8" ht="40.5" customHeight="1" thickBot="1" x14ac:dyDescent="0.4">
      <c r="C6" s="132"/>
      <c r="D6" s="132"/>
      <c r="E6" s="132"/>
      <c r="F6" s="132"/>
      <c r="G6" s="132"/>
      <c r="H6" s="132"/>
    </row>
    <row r="7" spans="2:8" ht="14" thickTop="1" x14ac:dyDescent="0.35"/>
    <row r="10" spans="2:8" ht="14" thickBot="1" x14ac:dyDescent="0.4">
      <c r="B10" s="133" t="s">
        <v>0</v>
      </c>
      <c r="C10" s="133"/>
      <c r="D10" s="133"/>
      <c r="E10" s="133"/>
    </row>
    <row r="11" spans="2:8" ht="14.5" thickTop="1" thickBot="1" x14ac:dyDescent="0.4">
      <c r="B11" s="133"/>
      <c r="C11" s="133"/>
      <c r="D11" s="133"/>
      <c r="E11" s="133"/>
    </row>
    <row r="12" spans="2:8" ht="14" thickTop="1" x14ac:dyDescent="0.35"/>
    <row r="13" spans="2:8" ht="101.25" customHeight="1" x14ac:dyDescent="0.35">
      <c r="B13" s="134" t="s">
        <v>32</v>
      </c>
      <c r="C13" s="134"/>
      <c r="D13" s="134"/>
      <c r="E13" s="134"/>
      <c r="F13" s="134"/>
      <c r="G13" s="134"/>
      <c r="H13" s="134"/>
    </row>
    <row r="14" spans="2:8" ht="15" x14ac:dyDescent="0.35">
      <c r="B14" s="2"/>
      <c r="C14" s="2"/>
      <c r="D14" s="2"/>
      <c r="E14" s="2"/>
      <c r="F14" s="2"/>
      <c r="G14" s="2"/>
      <c r="H14" s="2"/>
    </row>
    <row r="15" spans="2:8" ht="15" x14ac:dyDescent="0.35">
      <c r="B15" s="2"/>
      <c r="C15" s="2"/>
      <c r="D15" s="2"/>
      <c r="E15" s="2"/>
      <c r="F15" s="2"/>
      <c r="G15" s="2"/>
      <c r="H15" s="2"/>
    </row>
    <row r="16" spans="2:8" ht="14" thickBot="1" x14ac:dyDescent="0.4">
      <c r="B16" s="128" t="s">
        <v>1</v>
      </c>
      <c r="C16" s="128"/>
      <c r="D16" s="128"/>
      <c r="E16" s="128"/>
    </row>
    <row r="17" spans="2:9" ht="14.5" thickTop="1" thickBot="1" x14ac:dyDescent="0.4">
      <c r="B17" s="128"/>
      <c r="C17" s="128"/>
      <c r="D17" s="128"/>
      <c r="E17" s="128"/>
    </row>
    <row r="18" spans="2:9" ht="14" thickTop="1" x14ac:dyDescent="0.35"/>
    <row r="19" spans="2:9" ht="15" x14ac:dyDescent="0.35">
      <c r="B19" s="16" t="s">
        <v>7</v>
      </c>
      <c r="C19" s="16" t="s">
        <v>11</v>
      </c>
      <c r="D19" s="16"/>
      <c r="E19" s="3"/>
    </row>
    <row r="20" spans="2:9" ht="15" x14ac:dyDescent="0.35">
      <c r="B20" s="16" t="s">
        <v>10</v>
      </c>
      <c r="C20" s="16" t="s">
        <v>13</v>
      </c>
      <c r="D20" s="16"/>
      <c r="E20" s="3"/>
    </row>
    <row r="21" spans="2:9" x14ac:dyDescent="0.35">
      <c r="B21" s="3"/>
      <c r="C21" s="3"/>
      <c r="D21" s="3"/>
      <c r="E21" s="3"/>
    </row>
    <row r="22" spans="2:9" ht="14" thickBot="1" x14ac:dyDescent="0.4">
      <c r="B22" s="128" t="s">
        <v>2</v>
      </c>
      <c r="C22" s="128"/>
      <c r="D22" s="128"/>
      <c r="E22" s="128"/>
      <c r="F22" s="3"/>
      <c r="G22" s="3"/>
      <c r="H22" s="3"/>
      <c r="I22" s="3"/>
    </row>
    <row r="23" spans="2:9" ht="14.5" thickTop="1" thickBot="1" x14ac:dyDescent="0.4">
      <c r="B23" s="128"/>
      <c r="C23" s="128"/>
      <c r="D23" s="128"/>
      <c r="E23" s="128"/>
      <c r="F23" s="3"/>
      <c r="G23" s="3"/>
      <c r="H23" s="3"/>
      <c r="I23" s="3"/>
    </row>
    <row r="24" spans="2:9" ht="14" thickTop="1" x14ac:dyDescent="0.35">
      <c r="B24" s="3"/>
      <c r="C24" s="3"/>
      <c r="D24" s="3"/>
      <c r="E24" s="3"/>
      <c r="F24" s="3"/>
      <c r="G24" s="3"/>
      <c r="H24" s="3"/>
      <c r="I24" s="3"/>
    </row>
    <row r="25" spans="2:9" ht="15" x14ac:dyDescent="0.35">
      <c r="B25" s="129" t="s">
        <v>3</v>
      </c>
      <c r="C25" s="130"/>
      <c r="D25" s="130"/>
      <c r="E25" s="130"/>
      <c r="F25" s="3"/>
      <c r="G25" s="3"/>
      <c r="H25" s="3"/>
      <c r="I25" s="3"/>
    </row>
    <row r="26" spans="2:9" x14ac:dyDescent="0.35">
      <c r="B26" s="3"/>
      <c r="C26" s="3"/>
      <c r="D26" s="3"/>
      <c r="E26" s="3"/>
      <c r="F26" s="3"/>
      <c r="G26" s="3"/>
      <c r="H26" s="3"/>
      <c r="I26" s="3"/>
    </row>
    <row r="27" spans="2:9" x14ac:dyDescent="0.35">
      <c r="B27" s="3"/>
      <c r="C27" s="3"/>
      <c r="D27" s="3"/>
      <c r="E27" s="3"/>
      <c r="F27" s="3"/>
      <c r="G27" s="3"/>
      <c r="H27" s="3"/>
      <c r="I27" s="3"/>
    </row>
  </sheetData>
  <mergeCells count="6">
    <mergeCell ref="B22:E23"/>
    <mergeCell ref="B25:E25"/>
    <mergeCell ref="C5:H6"/>
    <mergeCell ref="B10:E11"/>
    <mergeCell ref="B13:H13"/>
    <mergeCell ref="B16:E17"/>
  </mergeCells>
  <hyperlinks>
    <hyperlink ref="B25" r:id="rId1" xr:uid="{00000000-0004-0000-0000-000000000000}"/>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F27"/>
  <sheetViews>
    <sheetView showGridLines="0" topLeftCell="A9" zoomScaleNormal="100" workbookViewId="0">
      <selection activeCell="H19" sqref="H19"/>
    </sheetView>
  </sheetViews>
  <sheetFormatPr baseColWidth="10" defaultColWidth="11" defaultRowHeight="13.5" x14ac:dyDescent="0.35"/>
  <cols>
    <col min="2" max="2" width="19.08203125" customWidth="1"/>
    <col min="3" max="3" width="29.08203125" customWidth="1"/>
    <col min="4" max="4" width="42" customWidth="1"/>
    <col min="5" max="5" width="49.6640625" customWidth="1"/>
    <col min="6" max="6" width="19.5" customWidth="1"/>
  </cols>
  <sheetData>
    <row r="2" spans="2:4" ht="21" x14ac:dyDescent="0.35">
      <c r="B2" s="4" t="s">
        <v>18</v>
      </c>
    </row>
    <row r="3" spans="2:4" ht="18" customHeight="1" thickBot="1" x14ac:dyDescent="0.4"/>
    <row r="4" spans="2:4" ht="14" thickBot="1" x14ac:dyDescent="0.4">
      <c r="B4" s="18" t="s">
        <v>16</v>
      </c>
      <c r="C4" s="39" t="s">
        <v>15</v>
      </c>
      <c r="D4" s="19" t="s">
        <v>19</v>
      </c>
    </row>
    <row r="5" spans="2:4" x14ac:dyDescent="0.35">
      <c r="B5" s="20" t="s">
        <v>20</v>
      </c>
      <c r="C5" s="20" t="s">
        <v>23</v>
      </c>
      <c r="D5" s="22">
        <v>1.26</v>
      </c>
    </row>
    <row r="6" spans="2:4" ht="14" thickBot="1" x14ac:dyDescent="0.4">
      <c r="B6" s="21" t="s">
        <v>17</v>
      </c>
      <c r="C6" s="21" t="s">
        <v>22</v>
      </c>
      <c r="D6" s="23">
        <v>13.48</v>
      </c>
    </row>
    <row r="23" spans="2:6" s="5" customFormat="1" ht="34.5" customHeight="1" x14ac:dyDescent="0.35">
      <c r="B23"/>
      <c r="C23"/>
      <c r="D23"/>
      <c r="E23"/>
      <c r="F23"/>
    </row>
    <row r="27" spans="2:6" s="5" customFormat="1" ht="34.5" customHeight="1" x14ac:dyDescent="0.35">
      <c r="B27"/>
      <c r="C27"/>
      <c r="D27"/>
      <c r="E27"/>
      <c r="F2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6"/>
  <sheetViews>
    <sheetView showGridLines="0" zoomScale="70" zoomScaleNormal="100" workbookViewId="0">
      <selection activeCell="B3" sqref="B3"/>
    </sheetView>
  </sheetViews>
  <sheetFormatPr baseColWidth="10" defaultColWidth="11" defaultRowHeight="13.5" x14ac:dyDescent="0.35"/>
  <cols>
    <col min="1" max="1" width="11" style="6"/>
    <col min="2" max="2" width="27.1640625" style="6" customWidth="1"/>
    <col min="3" max="3" width="17.58203125" style="6" customWidth="1"/>
    <col min="4" max="4" width="25.1640625" style="6" customWidth="1"/>
    <col min="5" max="25" width="25.6640625" style="6" customWidth="1"/>
    <col min="26" max="16384" width="11" style="6"/>
  </cols>
  <sheetData>
    <row r="2" spans="2:25" ht="21.75" customHeight="1" thickBot="1" x14ac:dyDescent="0.4">
      <c r="B2" s="4" t="s">
        <v>84</v>
      </c>
    </row>
    <row r="3" spans="2:25" s="31" customFormat="1" ht="23.25" customHeight="1" thickBot="1" x14ac:dyDescent="0.4">
      <c r="B3" s="49"/>
      <c r="D3" s="135" t="s">
        <v>49</v>
      </c>
      <c r="E3" s="136"/>
      <c r="F3" s="135" t="s">
        <v>70</v>
      </c>
      <c r="G3" s="136"/>
      <c r="H3" s="135" t="s">
        <v>60</v>
      </c>
      <c r="I3" s="136"/>
      <c r="J3" s="135" t="s">
        <v>34</v>
      </c>
      <c r="K3" s="136"/>
      <c r="L3" s="135" t="s">
        <v>35</v>
      </c>
      <c r="M3" s="136"/>
      <c r="N3" s="135" t="s">
        <v>36</v>
      </c>
      <c r="O3" s="136"/>
      <c r="P3" s="135" t="s">
        <v>37</v>
      </c>
      <c r="Q3" s="136"/>
      <c r="R3" s="135" t="s">
        <v>38</v>
      </c>
      <c r="S3" s="136"/>
      <c r="T3" s="135" t="s">
        <v>39</v>
      </c>
      <c r="U3" s="136"/>
      <c r="V3" s="135" t="s">
        <v>40</v>
      </c>
      <c r="W3" s="136"/>
      <c r="X3" s="135" t="s">
        <v>69</v>
      </c>
      <c r="Y3" s="136"/>
    </row>
    <row r="4" spans="2:25" ht="19.5" customHeight="1" thickBot="1" x14ac:dyDescent="0.4">
      <c r="B4" s="18" t="s">
        <v>18</v>
      </c>
      <c r="C4" s="39" t="s">
        <v>4</v>
      </c>
      <c r="D4" s="47" t="s">
        <v>41</v>
      </c>
      <c r="E4" s="47" t="s">
        <v>42</v>
      </c>
      <c r="F4" s="47" t="s">
        <v>41</v>
      </c>
      <c r="G4" s="47" t="s">
        <v>42</v>
      </c>
      <c r="H4" s="47" t="s">
        <v>41</v>
      </c>
      <c r="I4" s="47" t="s">
        <v>42</v>
      </c>
      <c r="J4" s="47" t="s">
        <v>41</v>
      </c>
      <c r="K4" s="47" t="s">
        <v>42</v>
      </c>
      <c r="L4" s="47" t="s">
        <v>41</v>
      </c>
      <c r="M4" s="47" t="s">
        <v>42</v>
      </c>
      <c r="N4" s="47" t="s">
        <v>41</v>
      </c>
      <c r="O4" s="47" t="s">
        <v>42</v>
      </c>
      <c r="P4" s="47" t="s">
        <v>41</v>
      </c>
      <c r="Q4" s="47" t="s">
        <v>42</v>
      </c>
      <c r="R4" s="47" t="s">
        <v>41</v>
      </c>
      <c r="S4" s="47" t="s">
        <v>42</v>
      </c>
      <c r="T4" s="47" t="s">
        <v>41</v>
      </c>
      <c r="U4" s="47" t="s">
        <v>42</v>
      </c>
      <c r="V4" s="47" t="s">
        <v>41</v>
      </c>
      <c r="W4" s="47" t="s">
        <v>42</v>
      </c>
      <c r="X4" s="47" t="s">
        <v>41</v>
      </c>
      <c r="Y4" s="47" t="s">
        <v>42</v>
      </c>
    </row>
    <row r="5" spans="2:25" ht="15" customHeight="1" x14ac:dyDescent="0.35">
      <c r="B5" s="20" t="s">
        <v>20</v>
      </c>
      <c r="C5" s="20" t="s">
        <v>5</v>
      </c>
      <c r="D5" s="40">
        <v>45.359999999999992</v>
      </c>
      <c r="E5" s="40">
        <v>36.380000000000003</v>
      </c>
      <c r="F5" s="40">
        <v>45</v>
      </c>
      <c r="G5" s="40">
        <v>36.01</v>
      </c>
      <c r="H5" s="40">
        <v>73.2</v>
      </c>
      <c r="I5" s="40">
        <v>63.96</v>
      </c>
      <c r="J5" s="40">
        <v>46.44</v>
      </c>
      <c r="K5" s="40">
        <v>37.35</v>
      </c>
      <c r="L5" s="40">
        <v>57.12</v>
      </c>
      <c r="M5" s="40">
        <v>47.98</v>
      </c>
      <c r="N5" s="40">
        <v>41.160000000000004</v>
      </c>
      <c r="O5" s="40">
        <v>32.130000000000003</v>
      </c>
      <c r="P5" s="40">
        <v>46.44</v>
      </c>
      <c r="Q5" s="40">
        <v>37.43</v>
      </c>
      <c r="R5" s="40">
        <v>47.279999999999994</v>
      </c>
      <c r="S5" s="40">
        <v>38.25</v>
      </c>
      <c r="T5" s="40">
        <v>53.160000000000004</v>
      </c>
      <c r="U5" s="40">
        <v>44.06</v>
      </c>
      <c r="V5" s="40">
        <v>50.519999999999996</v>
      </c>
      <c r="W5" s="40">
        <v>41.5</v>
      </c>
      <c r="X5" s="40">
        <v>71.808000000000007</v>
      </c>
      <c r="Y5" s="42">
        <v>56.490999999999993</v>
      </c>
    </row>
    <row r="6" spans="2:25" ht="13.25" customHeight="1" thickBot="1" x14ac:dyDescent="0.4">
      <c r="B6" s="21" t="s">
        <v>17</v>
      </c>
      <c r="C6" s="21" t="s">
        <v>6</v>
      </c>
      <c r="D6" s="41">
        <v>151.79999999999998</v>
      </c>
      <c r="E6" s="41">
        <v>9.7799999999999994</v>
      </c>
      <c r="F6" s="41">
        <v>150.36000000000001</v>
      </c>
      <c r="G6" s="41">
        <v>9.68</v>
      </c>
      <c r="H6" s="41">
        <v>260.28000000000003</v>
      </c>
      <c r="I6" s="41">
        <v>17.190000000000001</v>
      </c>
      <c r="J6" s="41">
        <v>155.63999999999999</v>
      </c>
      <c r="K6" s="41">
        <v>10.039999999999999</v>
      </c>
      <c r="L6" s="41">
        <v>197.4</v>
      </c>
      <c r="M6" s="41">
        <v>12.89</v>
      </c>
      <c r="N6" s="41">
        <v>135.11999999999998</v>
      </c>
      <c r="O6" s="41">
        <v>8.64</v>
      </c>
      <c r="P6" s="41">
        <v>156</v>
      </c>
      <c r="Q6" s="41">
        <v>10.06</v>
      </c>
      <c r="R6" s="41">
        <v>159.11999999999998</v>
      </c>
      <c r="S6" s="41">
        <v>10.28</v>
      </c>
      <c r="T6" s="41">
        <v>182.04</v>
      </c>
      <c r="U6" s="41">
        <v>11.84</v>
      </c>
      <c r="V6" s="41">
        <v>171.95999999999998</v>
      </c>
      <c r="W6" s="41">
        <v>11.15</v>
      </c>
      <c r="X6" s="41">
        <v>237.048</v>
      </c>
      <c r="Y6" s="43">
        <v>15.180999999999999</v>
      </c>
    </row>
  </sheetData>
  <mergeCells count="11">
    <mergeCell ref="P3:Q3"/>
    <mergeCell ref="R3:S3"/>
    <mergeCell ref="T3:U3"/>
    <mergeCell ref="V3:W3"/>
    <mergeCell ref="X3:Y3"/>
    <mergeCell ref="N3:O3"/>
    <mergeCell ref="D3:E3"/>
    <mergeCell ref="F3:G3"/>
    <mergeCell ref="H3:I3"/>
    <mergeCell ref="J3:K3"/>
    <mergeCell ref="L3:M3"/>
  </mergeCell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B2:W15"/>
  <sheetViews>
    <sheetView showGridLines="0" topLeftCell="B1" zoomScale="62" zoomScaleNormal="62" workbookViewId="0">
      <selection activeCell="B11" sqref="B11"/>
    </sheetView>
  </sheetViews>
  <sheetFormatPr baseColWidth="10" defaultColWidth="11" defaultRowHeight="13.5" x14ac:dyDescent="0.35"/>
  <cols>
    <col min="1" max="1" width="11" style="6"/>
    <col min="2" max="2" width="22.1640625" style="6" customWidth="1"/>
    <col min="3" max="3" width="23.58203125" style="6" customWidth="1"/>
    <col min="4" max="4" width="16.58203125" style="6" customWidth="1"/>
    <col min="5" max="5" width="22.58203125" style="6" customWidth="1"/>
    <col min="6" max="6" width="18.08203125" style="6" customWidth="1"/>
    <col min="7" max="7" width="13.6640625" style="6" customWidth="1"/>
    <col min="8" max="11" width="11" style="6"/>
    <col min="12" max="12" width="24.58203125" style="6" customWidth="1"/>
    <col min="13" max="13" width="26.58203125" style="6" customWidth="1"/>
    <col min="14" max="14" width="21.58203125" style="6" customWidth="1"/>
    <col min="15" max="17" width="11" style="6"/>
    <col min="18" max="18" width="18.08203125" style="6" customWidth="1"/>
    <col min="19" max="21" width="11" style="6"/>
    <col min="22" max="22" width="20.08203125" style="6" customWidth="1"/>
    <col min="23" max="16384" width="11" style="6"/>
  </cols>
  <sheetData>
    <row r="2" spans="2:23" ht="21.75" customHeight="1" x14ac:dyDescent="0.35">
      <c r="B2" s="4" t="s">
        <v>29</v>
      </c>
      <c r="F2" s="24"/>
    </row>
    <row r="3" spans="2:23" ht="23.25" customHeight="1" x14ac:dyDescent="0.35">
      <c r="B3" s="4"/>
      <c r="E3" s="31"/>
      <c r="F3" s="30"/>
    </row>
    <row r="4" spans="2:23" ht="14" thickBot="1" x14ac:dyDescent="0.4">
      <c r="G4" s="14"/>
    </row>
    <row r="5" spans="2:23" ht="14" thickBot="1" x14ac:dyDescent="0.4">
      <c r="C5" s="15" t="s">
        <v>49</v>
      </c>
      <c r="D5" s="15" t="s">
        <v>71</v>
      </c>
      <c r="E5" s="15" t="s">
        <v>51</v>
      </c>
      <c r="F5" s="15" t="s">
        <v>34</v>
      </c>
      <c r="G5" s="15" t="s">
        <v>35</v>
      </c>
      <c r="H5" s="15" t="s">
        <v>36</v>
      </c>
      <c r="I5" s="15" t="s">
        <v>37</v>
      </c>
      <c r="J5" s="15" t="s">
        <v>38</v>
      </c>
      <c r="K5" s="15" t="s">
        <v>39</v>
      </c>
      <c r="L5" s="15" t="s">
        <v>52</v>
      </c>
      <c r="M5" s="15" t="s">
        <v>73</v>
      </c>
      <c r="N5" s="15" t="s">
        <v>54</v>
      </c>
      <c r="O5" s="15" t="s">
        <v>43</v>
      </c>
      <c r="P5" s="15" t="s">
        <v>55</v>
      </c>
      <c r="Q5" s="15" t="s">
        <v>44</v>
      </c>
      <c r="R5" s="15" t="s">
        <v>56</v>
      </c>
      <c r="S5" s="15" t="s">
        <v>45</v>
      </c>
      <c r="T5" s="15" t="s">
        <v>46</v>
      </c>
      <c r="U5" s="15" t="s">
        <v>47</v>
      </c>
      <c r="V5" s="15" t="s">
        <v>63</v>
      </c>
      <c r="W5" s="15" t="s">
        <v>48</v>
      </c>
    </row>
    <row r="6" spans="2:23" x14ac:dyDescent="0.35">
      <c r="B6" s="20" t="s">
        <v>20</v>
      </c>
      <c r="C6" s="40">
        <v>5.2317847559876531</v>
      </c>
      <c r="D6" s="40">
        <v>5.3219034166230967</v>
      </c>
      <c r="E6" s="40">
        <v>6.3304676562615807</v>
      </c>
      <c r="F6" s="40">
        <v>4.5357395335104984</v>
      </c>
      <c r="G6" s="40">
        <v>2.5525173759665227</v>
      </c>
      <c r="H6" s="40">
        <v>4.5357395335104984</v>
      </c>
      <c r="I6" s="40">
        <v>4.5357395335104984</v>
      </c>
      <c r="J6" s="40">
        <v>6.1931399663803832</v>
      </c>
      <c r="K6" s="40">
        <v>4.7681619941626057</v>
      </c>
      <c r="L6" s="40">
        <v>4.6007081818747002</v>
      </c>
      <c r="M6" s="40">
        <v>5.0002765496645534</v>
      </c>
      <c r="N6" s="40">
        <v>3.6241187416975444</v>
      </c>
      <c r="O6" s="40">
        <v>3.7141982260439077</v>
      </c>
      <c r="P6" s="40">
        <v>7.4722879437188334</v>
      </c>
      <c r="Q6" s="40">
        <v>3.0239339739566367</v>
      </c>
      <c r="R6" s="40">
        <v>4.3579611464050059</v>
      </c>
      <c r="S6" s="40">
        <v>6.944754230448039</v>
      </c>
      <c r="T6" s="40">
        <v>8.0483100297547008</v>
      </c>
      <c r="U6" s="40">
        <v>3.6427720299566371</v>
      </c>
      <c r="V6" s="40">
        <v>4.9625909853188341</v>
      </c>
      <c r="W6" s="42">
        <v>2.5525173759665227</v>
      </c>
    </row>
    <row r="7" spans="2:23" ht="14" thickBot="1" x14ac:dyDescent="0.4">
      <c r="B7" s="21" t="s">
        <v>17</v>
      </c>
      <c r="C7" s="41">
        <v>11.603708424391565</v>
      </c>
      <c r="D7" s="41">
        <v>12.290472386290567</v>
      </c>
      <c r="E7" s="41">
        <v>14.303211652948448</v>
      </c>
      <c r="F7" s="41">
        <v>10.64316194338558</v>
      </c>
      <c r="G7" s="41">
        <v>6.4098517752606305</v>
      </c>
      <c r="H7" s="41">
        <v>10.64316194338558</v>
      </c>
      <c r="I7" s="41">
        <v>10.64316194338558</v>
      </c>
      <c r="J7" s="41">
        <v>14.470750721508821</v>
      </c>
      <c r="K7" s="41">
        <v>10.95734510964202</v>
      </c>
      <c r="L7" s="41">
        <v>10.266616867264203</v>
      </c>
      <c r="M7" s="41">
        <v>10.646516517502386</v>
      </c>
      <c r="N7" s="41">
        <v>7.7360912467682112</v>
      </c>
      <c r="O7" s="41">
        <v>8.7508365291501384</v>
      </c>
      <c r="P7" s="41">
        <v>16.235022342929149</v>
      </c>
      <c r="Q7" s="41">
        <v>7.1527160078973893</v>
      </c>
      <c r="R7" s="41">
        <v>10.110025621266022</v>
      </c>
      <c r="S7" s="41">
        <v>15.581990951195086</v>
      </c>
      <c r="T7" s="41">
        <v>17.177290131304204</v>
      </c>
      <c r="U7" s="41">
        <v>8.4002837858973898</v>
      </c>
      <c r="V7" s="41">
        <v>11.14175560532915</v>
      </c>
      <c r="W7" s="43">
        <v>6.4098517752606305</v>
      </c>
    </row>
    <row r="10" spans="2:23" x14ac:dyDescent="0.35">
      <c r="B10" s="14" t="s">
        <v>85</v>
      </c>
      <c r="G10" s="14"/>
    </row>
    <row r="12" spans="2:23" x14ac:dyDescent="0.35">
      <c r="B12" s="137" t="s">
        <v>50</v>
      </c>
      <c r="C12" s="137"/>
    </row>
    <row r="14" spans="2:23" x14ac:dyDescent="0.35">
      <c r="J14" s="11"/>
    </row>
    <row r="15" spans="2:23" x14ac:dyDescent="0.35">
      <c r="J15" s="11"/>
    </row>
  </sheetData>
  <mergeCells count="1">
    <mergeCell ref="B12:C12"/>
  </mergeCell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66"/>
  <sheetViews>
    <sheetView showGridLines="0" zoomScaleNormal="100" workbookViewId="0">
      <selection activeCell="D5" sqref="D5"/>
    </sheetView>
  </sheetViews>
  <sheetFormatPr baseColWidth="10" defaultColWidth="11" defaultRowHeight="13.5" x14ac:dyDescent="0.35"/>
  <cols>
    <col min="1" max="1" width="11" style="6"/>
    <col min="2" max="2" width="21.08203125" style="6" customWidth="1"/>
    <col min="3" max="3" width="28.58203125" style="6" customWidth="1"/>
    <col min="4" max="4" width="13.58203125" style="6" customWidth="1"/>
    <col min="5" max="5" width="21.08203125" style="6" customWidth="1"/>
    <col min="6" max="6" width="27" style="6" customWidth="1"/>
    <col min="7" max="7" width="19.58203125" style="6" customWidth="1"/>
    <col min="8" max="8" width="14.58203125" style="6" customWidth="1"/>
    <col min="9" max="12" width="9.58203125" style="6" customWidth="1"/>
    <col min="13" max="16384" width="11" style="6"/>
  </cols>
  <sheetData>
    <row r="2" spans="1:19" ht="21.75" customHeight="1" x14ac:dyDescent="0.35">
      <c r="B2" s="10" t="s">
        <v>28</v>
      </c>
      <c r="G2" s="7"/>
      <c r="H2" s="8"/>
      <c r="J2" s="9"/>
      <c r="K2"/>
      <c r="L2"/>
      <c r="M2"/>
      <c r="N2"/>
      <c r="O2"/>
    </row>
    <row r="3" spans="1:19" ht="23.25" customHeight="1" thickBot="1" x14ac:dyDescent="0.4">
      <c r="B3" s="13"/>
      <c r="E3" s="34"/>
      <c r="G3" s="7"/>
      <c r="H3" s="8"/>
      <c r="J3" s="9"/>
      <c r="K3"/>
      <c r="L3"/>
      <c r="M3"/>
      <c r="N3"/>
      <c r="O3"/>
    </row>
    <row r="4" spans="1:19" ht="33" customHeight="1" thickBot="1" x14ac:dyDescent="0.4">
      <c r="B4" s="35" t="s">
        <v>18</v>
      </c>
      <c r="C4" s="32" t="s">
        <v>27</v>
      </c>
      <c r="D4" s="32" t="s">
        <v>26</v>
      </c>
      <c r="E4" s="44" t="s">
        <v>21</v>
      </c>
      <c r="F4" s="44" t="s">
        <v>25</v>
      </c>
      <c r="G4" s="33" t="s">
        <v>24</v>
      </c>
      <c r="I4" s="9"/>
      <c r="J4"/>
      <c r="K4"/>
      <c r="L4"/>
      <c r="M4"/>
      <c r="N4"/>
      <c r="O4"/>
      <c r="P4"/>
      <c r="Q4"/>
      <c r="R4"/>
    </row>
    <row r="5" spans="1:19" ht="16.25" customHeight="1" x14ac:dyDescent="0.35">
      <c r="B5" s="20" t="s">
        <v>20</v>
      </c>
      <c r="C5" s="40">
        <f>50+46</f>
        <v>96</v>
      </c>
      <c r="D5" s="40">
        <v>5.8510307127659589</v>
      </c>
      <c r="E5" s="40">
        <v>1.9</v>
      </c>
      <c r="F5" s="40">
        <v>2.1</v>
      </c>
      <c r="G5" s="42">
        <v>0.04</v>
      </c>
      <c r="I5" s="9"/>
      <c r="J5"/>
      <c r="K5"/>
      <c r="L5"/>
      <c r="M5"/>
      <c r="N5"/>
      <c r="O5"/>
      <c r="P5"/>
      <c r="Q5"/>
      <c r="R5"/>
    </row>
    <row r="6" spans="1:19" ht="15" thickBot="1" x14ac:dyDescent="0.4">
      <c r="B6" s="21" t="s">
        <v>17</v>
      </c>
      <c r="C6" s="41">
        <f>50+79</f>
        <v>129</v>
      </c>
      <c r="D6" s="41">
        <v>5.8510307127659589</v>
      </c>
      <c r="E6" s="41">
        <v>1.9</v>
      </c>
      <c r="F6" s="41">
        <v>2.1</v>
      </c>
      <c r="G6" s="43">
        <v>0.04</v>
      </c>
      <c r="I6" s="9"/>
      <c r="J6"/>
      <c r="K6"/>
      <c r="L6"/>
      <c r="M6"/>
      <c r="N6"/>
      <c r="O6"/>
      <c r="P6"/>
      <c r="Q6"/>
      <c r="R6"/>
    </row>
    <row r="7" spans="1:19" x14ac:dyDescent="0.35">
      <c r="D7" s="13"/>
      <c r="F7"/>
      <c r="G7"/>
      <c r="H7"/>
      <c r="I7"/>
      <c r="J7"/>
      <c r="K7"/>
      <c r="L7"/>
      <c r="M7"/>
      <c r="N7"/>
      <c r="O7"/>
      <c r="P7"/>
      <c r="Q7"/>
      <c r="R7"/>
      <c r="S7"/>
    </row>
    <row r="8" spans="1:19" x14ac:dyDescent="0.35">
      <c r="B8" s="14"/>
      <c r="D8" s="13"/>
      <c r="F8"/>
      <c r="G8"/>
      <c r="H8"/>
      <c r="I8"/>
      <c r="J8"/>
      <c r="K8"/>
      <c r="L8"/>
      <c r="M8"/>
      <c r="N8"/>
      <c r="O8"/>
      <c r="P8"/>
      <c r="Q8"/>
      <c r="R8"/>
      <c r="S8"/>
    </row>
    <row r="9" spans="1:19" x14ac:dyDescent="0.35">
      <c r="A9" s="13"/>
      <c r="D9" s="13"/>
      <c r="F9"/>
      <c r="G9"/>
      <c r="H9"/>
      <c r="I9"/>
      <c r="J9"/>
      <c r="K9"/>
      <c r="L9"/>
      <c r="M9"/>
      <c r="N9"/>
      <c r="O9"/>
      <c r="P9"/>
      <c r="Q9"/>
      <c r="R9"/>
      <c r="S9"/>
    </row>
    <row r="10" spans="1:19" x14ac:dyDescent="0.35">
      <c r="C10"/>
      <c r="D10" s="17"/>
      <c r="E10"/>
      <c r="F10"/>
      <c r="G10"/>
      <c r="H10"/>
      <c r="I10"/>
      <c r="J10"/>
      <c r="K10"/>
      <c r="L10"/>
      <c r="M10"/>
      <c r="N10"/>
      <c r="O10"/>
      <c r="P10"/>
      <c r="Q10"/>
      <c r="R10"/>
      <c r="S10"/>
    </row>
    <row r="11" spans="1:19" x14ac:dyDescent="0.35">
      <c r="D11"/>
      <c r="E11"/>
      <c r="F11"/>
      <c r="G11"/>
      <c r="H11"/>
      <c r="I11"/>
      <c r="J11"/>
      <c r="K11"/>
      <c r="L11"/>
      <c r="N11"/>
      <c r="O11"/>
      <c r="P11"/>
      <c r="Q11"/>
      <c r="R11"/>
      <c r="S11"/>
    </row>
    <row r="12" spans="1:19" x14ac:dyDescent="0.35">
      <c r="B12"/>
      <c r="C12"/>
      <c r="D12"/>
      <c r="E12"/>
      <c r="F12"/>
      <c r="G12"/>
      <c r="H12"/>
      <c r="I12"/>
      <c r="J12"/>
      <c r="K12"/>
      <c r="L12"/>
      <c r="N12"/>
      <c r="O12"/>
      <c r="P12"/>
      <c r="Q12"/>
      <c r="R12"/>
      <c r="S12"/>
    </row>
    <row r="13" spans="1:19" x14ac:dyDescent="0.35">
      <c r="B13"/>
      <c r="C13"/>
      <c r="D13"/>
      <c r="E13"/>
      <c r="F13"/>
      <c r="G13"/>
      <c r="H13"/>
      <c r="I13"/>
      <c r="J13"/>
      <c r="K13"/>
      <c r="L13"/>
      <c r="N13"/>
      <c r="O13"/>
      <c r="P13"/>
      <c r="Q13"/>
      <c r="R13"/>
      <c r="S13"/>
    </row>
    <row r="14" spans="1:19" x14ac:dyDescent="0.35">
      <c r="A14"/>
      <c r="B14"/>
      <c r="C14"/>
      <c r="D14"/>
      <c r="E14"/>
      <c r="F14"/>
      <c r="G14"/>
      <c r="H14"/>
      <c r="I14"/>
      <c r="J14"/>
      <c r="K14"/>
      <c r="L14"/>
      <c r="N14"/>
      <c r="O14"/>
      <c r="P14"/>
      <c r="Q14"/>
      <c r="R14"/>
      <c r="S14"/>
    </row>
    <row r="15" spans="1:19" x14ac:dyDescent="0.35">
      <c r="A15"/>
      <c r="B15"/>
      <c r="C15"/>
      <c r="D15"/>
      <c r="E15"/>
      <c r="F15"/>
      <c r="G15"/>
      <c r="H15"/>
      <c r="I15"/>
      <c r="J15"/>
      <c r="K15"/>
      <c r="L15"/>
      <c r="N15"/>
      <c r="O15"/>
      <c r="P15"/>
      <c r="Q15"/>
      <c r="R15"/>
      <c r="S15"/>
    </row>
    <row r="16" spans="1:19" x14ac:dyDescent="0.35">
      <c r="A16"/>
      <c r="B16"/>
      <c r="C16"/>
      <c r="D16"/>
      <c r="E16"/>
      <c r="F16"/>
      <c r="G16"/>
      <c r="H16"/>
      <c r="I16"/>
      <c r="J16"/>
      <c r="K16"/>
      <c r="L16"/>
      <c r="N16"/>
      <c r="O16"/>
      <c r="P16"/>
      <c r="Q16"/>
      <c r="R16"/>
      <c r="S16"/>
    </row>
    <row r="17" spans="1:19" x14ac:dyDescent="0.35">
      <c r="A17"/>
      <c r="B17"/>
      <c r="C17"/>
      <c r="D17"/>
      <c r="E17"/>
      <c r="F17"/>
      <c r="G17"/>
      <c r="H17"/>
      <c r="I17"/>
      <c r="J17"/>
      <c r="K17"/>
      <c r="L17"/>
      <c r="N17"/>
      <c r="O17"/>
      <c r="P17"/>
      <c r="Q17"/>
      <c r="R17"/>
      <c r="S17"/>
    </row>
    <row r="18" spans="1:19" x14ac:dyDescent="0.35">
      <c r="A18"/>
      <c r="B18"/>
      <c r="C18"/>
      <c r="D18"/>
      <c r="E18"/>
      <c r="F18"/>
      <c r="G18"/>
      <c r="H18"/>
      <c r="I18"/>
      <c r="J18"/>
      <c r="K18"/>
      <c r="L18"/>
      <c r="N18"/>
      <c r="O18"/>
      <c r="P18"/>
      <c r="Q18"/>
      <c r="R18"/>
      <c r="S18"/>
    </row>
    <row r="19" spans="1:19" x14ac:dyDescent="0.35">
      <c r="A19"/>
      <c r="B19"/>
      <c r="C19"/>
      <c r="D19"/>
      <c r="E19"/>
      <c r="F19"/>
      <c r="G19"/>
      <c r="H19"/>
      <c r="I19"/>
      <c r="J19"/>
      <c r="K19"/>
      <c r="L19"/>
    </row>
    <row r="20" spans="1:19" x14ac:dyDescent="0.35">
      <c r="A20"/>
      <c r="B20"/>
      <c r="C20"/>
      <c r="D20"/>
      <c r="E20"/>
      <c r="F20"/>
      <c r="G20"/>
      <c r="H20"/>
      <c r="I20"/>
      <c r="J20"/>
      <c r="K20"/>
      <c r="L20"/>
    </row>
    <row r="21" spans="1:19" x14ac:dyDescent="0.35">
      <c r="A21"/>
      <c r="B21"/>
      <c r="C21"/>
      <c r="D21"/>
      <c r="E21"/>
      <c r="F21"/>
      <c r="G21"/>
      <c r="H21"/>
      <c r="I21"/>
      <c r="J21"/>
      <c r="K21"/>
      <c r="L21"/>
    </row>
    <row r="22" spans="1:19" x14ac:dyDescent="0.35">
      <c r="A22"/>
      <c r="B22"/>
      <c r="C22"/>
      <c r="D22"/>
      <c r="E22"/>
      <c r="F22"/>
      <c r="G22"/>
      <c r="H22"/>
      <c r="I22"/>
      <c r="J22"/>
      <c r="K22"/>
      <c r="L22"/>
    </row>
    <row r="23" spans="1:19" x14ac:dyDescent="0.35">
      <c r="A23"/>
      <c r="B23"/>
      <c r="C23"/>
      <c r="D23"/>
      <c r="E23"/>
      <c r="F23"/>
      <c r="G23"/>
      <c r="H23"/>
      <c r="I23"/>
      <c r="J23"/>
      <c r="K23"/>
      <c r="L23"/>
    </row>
    <row r="24" spans="1:19" x14ac:dyDescent="0.35">
      <c r="A24"/>
      <c r="B24"/>
      <c r="C24"/>
      <c r="D24"/>
      <c r="E24"/>
      <c r="F24"/>
      <c r="G24"/>
      <c r="H24"/>
      <c r="I24"/>
      <c r="J24"/>
      <c r="K24"/>
    </row>
    <row r="25" spans="1:19" x14ac:dyDescent="0.35">
      <c r="A25"/>
      <c r="B25"/>
      <c r="C25"/>
      <c r="D25"/>
      <c r="E25"/>
      <c r="F25"/>
      <c r="G25"/>
      <c r="H25"/>
      <c r="I25"/>
      <c r="J25"/>
      <c r="K25"/>
    </row>
    <row r="26" spans="1:19" x14ac:dyDescent="0.35">
      <c r="A26"/>
      <c r="B26"/>
      <c r="C26"/>
      <c r="D26"/>
      <c r="E26"/>
      <c r="F26"/>
      <c r="G26"/>
      <c r="H26"/>
      <c r="I26"/>
      <c r="J26"/>
      <c r="K26"/>
    </row>
    <row r="27" spans="1:19" x14ac:dyDescent="0.35">
      <c r="A27"/>
      <c r="B27"/>
      <c r="C27"/>
      <c r="D27"/>
      <c r="E27"/>
      <c r="F27"/>
      <c r="G27"/>
      <c r="H27"/>
      <c r="I27"/>
      <c r="J27"/>
      <c r="K27"/>
    </row>
    <row r="28" spans="1:19" x14ac:dyDescent="0.35">
      <c r="A28"/>
      <c r="B28"/>
      <c r="C28"/>
      <c r="D28"/>
      <c r="E28"/>
      <c r="F28"/>
      <c r="G28"/>
      <c r="H28"/>
      <c r="I28"/>
      <c r="J28"/>
      <c r="K28"/>
    </row>
    <row r="29" spans="1:19" x14ac:dyDescent="0.35">
      <c r="A29"/>
      <c r="B29"/>
      <c r="C29"/>
      <c r="D29"/>
      <c r="E29"/>
      <c r="F29"/>
      <c r="G29"/>
      <c r="H29"/>
      <c r="I29"/>
      <c r="J29"/>
      <c r="K29"/>
    </row>
    <row r="30" spans="1:19" x14ac:dyDescent="0.35">
      <c r="A30"/>
      <c r="B30"/>
      <c r="C30"/>
      <c r="D30"/>
      <c r="E30"/>
      <c r="F30"/>
      <c r="G30"/>
      <c r="H30"/>
      <c r="I30"/>
      <c r="J30"/>
      <c r="K30"/>
    </row>
    <row r="31" spans="1:19" x14ac:dyDescent="0.35">
      <c r="B31"/>
      <c r="C31"/>
      <c r="D31"/>
      <c r="E31"/>
      <c r="F31"/>
      <c r="G31"/>
      <c r="H31"/>
      <c r="I31"/>
      <c r="J31"/>
      <c r="K31"/>
    </row>
    <row r="32" spans="1:19" x14ac:dyDescent="0.35">
      <c r="B32"/>
      <c r="C32"/>
      <c r="D32"/>
      <c r="E32"/>
      <c r="F32"/>
      <c r="G32"/>
      <c r="H32"/>
      <c r="I32"/>
      <c r="J32"/>
      <c r="K32"/>
    </row>
    <row r="33" spans="2:11" x14ac:dyDescent="0.35">
      <c r="B33"/>
      <c r="C33"/>
      <c r="D33"/>
      <c r="E33"/>
      <c r="F33"/>
      <c r="G33"/>
      <c r="H33"/>
      <c r="I33"/>
      <c r="J33"/>
      <c r="K33"/>
    </row>
    <row r="34" spans="2:11" x14ac:dyDescent="0.35">
      <c r="B34"/>
      <c r="C34"/>
      <c r="D34"/>
      <c r="E34"/>
      <c r="F34"/>
      <c r="G34"/>
      <c r="H34"/>
      <c r="I34"/>
      <c r="J34"/>
      <c r="K34"/>
    </row>
    <row r="35" spans="2:11" x14ac:dyDescent="0.35">
      <c r="B35"/>
      <c r="C35"/>
      <c r="D35"/>
      <c r="E35"/>
      <c r="F35"/>
      <c r="G35"/>
      <c r="H35"/>
      <c r="I35"/>
      <c r="J35"/>
      <c r="K35"/>
    </row>
    <row r="36" spans="2:11" x14ac:dyDescent="0.35">
      <c r="B36"/>
      <c r="C36"/>
      <c r="D36"/>
      <c r="E36"/>
      <c r="F36"/>
      <c r="G36"/>
      <c r="H36"/>
      <c r="I36"/>
      <c r="J36"/>
      <c r="K36"/>
    </row>
    <row r="37" spans="2:11" x14ac:dyDescent="0.35">
      <c r="B37"/>
      <c r="C37"/>
      <c r="D37"/>
      <c r="E37"/>
      <c r="F37"/>
      <c r="G37"/>
      <c r="H37"/>
      <c r="I37"/>
      <c r="J37"/>
      <c r="K37"/>
    </row>
    <row r="38" spans="2:11" x14ac:dyDescent="0.35">
      <c r="B38"/>
      <c r="C38"/>
      <c r="D38"/>
      <c r="E38"/>
      <c r="F38"/>
      <c r="G38"/>
      <c r="H38"/>
      <c r="I38"/>
      <c r="J38"/>
      <c r="K38"/>
    </row>
    <row r="39" spans="2:11" x14ac:dyDescent="0.35">
      <c r="B39"/>
      <c r="C39"/>
      <c r="D39"/>
      <c r="E39"/>
      <c r="F39"/>
      <c r="G39"/>
      <c r="H39"/>
      <c r="I39"/>
      <c r="J39"/>
      <c r="K39"/>
    </row>
    <row r="40" spans="2:11" x14ac:dyDescent="0.35">
      <c r="B40"/>
      <c r="C40"/>
      <c r="D40"/>
      <c r="E40"/>
      <c r="F40"/>
      <c r="G40"/>
      <c r="H40"/>
      <c r="I40"/>
      <c r="J40"/>
      <c r="K40"/>
    </row>
    <row r="41" spans="2:11" x14ac:dyDescent="0.35">
      <c r="B41"/>
      <c r="C41"/>
      <c r="D41"/>
      <c r="E41"/>
      <c r="F41"/>
      <c r="G41"/>
      <c r="H41"/>
      <c r="I41"/>
      <c r="J41"/>
      <c r="K41"/>
    </row>
    <row r="42" spans="2:11" x14ac:dyDescent="0.35">
      <c r="B42"/>
      <c r="C42"/>
      <c r="D42"/>
      <c r="E42"/>
      <c r="F42"/>
      <c r="G42"/>
      <c r="H42"/>
      <c r="I42"/>
      <c r="J42"/>
      <c r="K42"/>
    </row>
    <row r="43" spans="2:11" x14ac:dyDescent="0.35">
      <c r="B43"/>
      <c r="C43"/>
      <c r="D43"/>
      <c r="E43"/>
      <c r="F43"/>
      <c r="G43"/>
      <c r="H43"/>
      <c r="I43"/>
      <c r="J43"/>
      <c r="K43"/>
    </row>
    <row r="44" spans="2:11" x14ac:dyDescent="0.35">
      <c r="B44"/>
      <c r="C44"/>
      <c r="D44"/>
      <c r="E44"/>
      <c r="F44"/>
      <c r="G44"/>
      <c r="H44"/>
      <c r="I44"/>
      <c r="J44"/>
      <c r="K44"/>
    </row>
    <row r="45" spans="2:11" x14ac:dyDescent="0.35">
      <c r="B45"/>
      <c r="C45"/>
      <c r="D45"/>
      <c r="E45"/>
      <c r="F45"/>
      <c r="G45"/>
      <c r="H45"/>
      <c r="I45"/>
      <c r="J45"/>
      <c r="K45"/>
    </row>
    <row r="46" spans="2:11" x14ac:dyDescent="0.35">
      <c r="B46"/>
      <c r="C46"/>
      <c r="D46"/>
      <c r="E46"/>
      <c r="F46"/>
      <c r="G46"/>
      <c r="H46"/>
      <c r="I46"/>
      <c r="J46"/>
      <c r="K46"/>
    </row>
    <row r="47" spans="2:11" x14ac:dyDescent="0.35">
      <c r="B47"/>
      <c r="C47"/>
      <c r="D47"/>
      <c r="E47"/>
      <c r="F47"/>
      <c r="G47"/>
      <c r="H47"/>
      <c r="I47"/>
      <c r="J47"/>
      <c r="K47"/>
    </row>
    <row r="48" spans="2:11" x14ac:dyDescent="0.35">
      <c r="B48"/>
      <c r="C48"/>
      <c r="D48"/>
      <c r="E48"/>
      <c r="F48"/>
      <c r="G48"/>
      <c r="H48"/>
      <c r="I48"/>
      <c r="J48"/>
      <c r="K48"/>
    </row>
    <row r="49" spans="2:11" x14ac:dyDescent="0.35">
      <c r="B49"/>
      <c r="C49"/>
      <c r="D49"/>
      <c r="E49"/>
      <c r="F49"/>
      <c r="G49"/>
      <c r="H49"/>
      <c r="I49"/>
      <c r="J49"/>
      <c r="K49"/>
    </row>
    <row r="50" spans="2:11" x14ac:dyDescent="0.35">
      <c r="B50"/>
      <c r="C50"/>
      <c r="D50"/>
      <c r="E50"/>
      <c r="F50"/>
      <c r="G50"/>
      <c r="H50"/>
      <c r="I50"/>
      <c r="J50"/>
      <c r="K50"/>
    </row>
    <row r="51" spans="2:11" x14ac:dyDescent="0.35">
      <c r="B51"/>
      <c r="C51"/>
      <c r="D51"/>
      <c r="E51"/>
      <c r="F51"/>
      <c r="G51"/>
      <c r="H51"/>
      <c r="I51"/>
      <c r="J51"/>
      <c r="K51"/>
    </row>
    <row r="52" spans="2:11" x14ac:dyDescent="0.35">
      <c r="B52"/>
      <c r="C52"/>
      <c r="D52"/>
      <c r="E52"/>
      <c r="F52"/>
      <c r="G52"/>
      <c r="H52"/>
      <c r="I52"/>
      <c r="J52"/>
      <c r="K52"/>
    </row>
    <row r="53" spans="2:11" x14ac:dyDescent="0.35">
      <c r="B53"/>
      <c r="C53"/>
      <c r="D53"/>
      <c r="E53"/>
      <c r="F53"/>
      <c r="G53"/>
      <c r="H53"/>
      <c r="I53"/>
      <c r="J53"/>
      <c r="K53"/>
    </row>
    <row r="54" spans="2:11" x14ac:dyDescent="0.35">
      <c r="B54"/>
      <c r="C54"/>
      <c r="D54"/>
      <c r="E54"/>
      <c r="F54"/>
      <c r="G54"/>
      <c r="H54"/>
      <c r="I54"/>
      <c r="J54"/>
      <c r="K54"/>
    </row>
    <row r="55" spans="2:11" x14ac:dyDescent="0.35">
      <c r="B55"/>
      <c r="C55"/>
      <c r="D55"/>
      <c r="E55"/>
      <c r="F55"/>
      <c r="G55"/>
      <c r="H55"/>
      <c r="I55"/>
      <c r="J55"/>
      <c r="K55"/>
    </row>
    <row r="56" spans="2:11" x14ac:dyDescent="0.35">
      <c r="B56"/>
      <c r="C56"/>
      <c r="D56"/>
      <c r="E56"/>
      <c r="F56"/>
      <c r="G56"/>
      <c r="H56"/>
      <c r="I56"/>
      <c r="J56"/>
      <c r="K56"/>
    </row>
    <row r="57" spans="2:11" x14ac:dyDescent="0.35">
      <c r="B57"/>
      <c r="C57"/>
      <c r="D57"/>
      <c r="E57"/>
      <c r="F57"/>
      <c r="G57"/>
      <c r="H57"/>
      <c r="I57"/>
      <c r="J57"/>
      <c r="K57"/>
    </row>
    <row r="58" spans="2:11" x14ac:dyDescent="0.35">
      <c r="B58"/>
      <c r="C58"/>
      <c r="D58"/>
      <c r="E58"/>
      <c r="F58"/>
      <c r="G58"/>
      <c r="H58"/>
      <c r="I58"/>
      <c r="J58"/>
      <c r="K58"/>
    </row>
    <row r="59" spans="2:11" x14ac:dyDescent="0.35">
      <c r="B59"/>
      <c r="C59"/>
      <c r="D59"/>
      <c r="E59"/>
      <c r="F59"/>
      <c r="G59"/>
      <c r="H59"/>
      <c r="I59"/>
      <c r="J59"/>
      <c r="K59"/>
    </row>
    <row r="60" spans="2:11" x14ac:dyDescent="0.35">
      <c r="B60"/>
      <c r="C60"/>
      <c r="D60"/>
      <c r="E60"/>
      <c r="F60"/>
      <c r="G60"/>
      <c r="H60"/>
      <c r="I60"/>
      <c r="J60"/>
      <c r="K60"/>
    </row>
    <row r="61" spans="2:11" x14ac:dyDescent="0.35">
      <c r="B61"/>
      <c r="C61"/>
      <c r="D61"/>
      <c r="E61"/>
      <c r="F61"/>
      <c r="G61"/>
      <c r="H61"/>
      <c r="I61"/>
      <c r="J61"/>
      <c r="K61"/>
    </row>
    <row r="62" spans="2:11" x14ac:dyDescent="0.35">
      <c r="B62"/>
      <c r="C62"/>
      <c r="D62"/>
      <c r="E62"/>
      <c r="F62"/>
      <c r="G62"/>
      <c r="H62"/>
      <c r="I62"/>
      <c r="J62"/>
      <c r="K62"/>
    </row>
    <row r="63" spans="2:11" x14ac:dyDescent="0.35">
      <c r="B63"/>
      <c r="C63"/>
      <c r="D63"/>
      <c r="E63"/>
      <c r="F63"/>
      <c r="G63"/>
      <c r="H63"/>
      <c r="I63"/>
      <c r="J63"/>
      <c r="K63"/>
    </row>
    <row r="64" spans="2:11" x14ac:dyDescent="0.35">
      <c r="B64"/>
      <c r="C64"/>
      <c r="D64"/>
      <c r="E64"/>
      <c r="F64"/>
      <c r="G64"/>
      <c r="H64"/>
      <c r="I64"/>
      <c r="J64"/>
      <c r="K64"/>
    </row>
    <row r="65" spans="2:11" x14ac:dyDescent="0.35">
      <c r="B65"/>
      <c r="C65"/>
      <c r="D65"/>
      <c r="E65"/>
      <c r="F65"/>
      <c r="G65"/>
      <c r="H65"/>
      <c r="I65"/>
      <c r="J65"/>
      <c r="K65"/>
    </row>
    <row r="66" spans="2:11" x14ac:dyDescent="0.35">
      <c r="B66"/>
      <c r="C66"/>
      <c r="D66"/>
      <c r="E66"/>
      <c r="F66"/>
      <c r="G66"/>
      <c r="H66"/>
      <c r="I66"/>
      <c r="J66"/>
      <c r="K66"/>
    </row>
  </sheetData>
  <pageMargins left="0.7" right="0.7"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DA78F-F864-457E-9D1F-706FF84A6F0F}">
  <dimension ref="B1:E24"/>
  <sheetViews>
    <sheetView showGridLines="0" workbookViewId="0">
      <selection activeCell="C21" sqref="C21"/>
    </sheetView>
  </sheetViews>
  <sheetFormatPr baseColWidth="10" defaultRowHeight="13.5" x14ac:dyDescent="0.35"/>
  <cols>
    <col min="3" max="3" width="43.58203125" customWidth="1"/>
    <col min="4" max="4" width="20.08203125" customWidth="1"/>
  </cols>
  <sheetData>
    <row r="1" spans="2:5" ht="14" thickBot="1" x14ac:dyDescent="0.4"/>
    <row r="2" spans="2:5" ht="14" thickBot="1" x14ac:dyDescent="0.4">
      <c r="D2" s="118" t="s">
        <v>83</v>
      </c>
      <c r="E2" s="119">
        <f>C20</f>
        <v>28.041999999999998</v>
      </c>
    </row>
    <row r="3" spans="2:5" x14ac:dyDescent="0.35">
      <c r="B3" s="25" t="s">
        <v>30</v>
      </c>
    </row>
    <row r="4" spans="2:5" ht="14" thickBot="1" x14ac:dyDescent="0.4">
      <c r="B4" s="25"/>
    </row>
    <row r="5" spans="2:5" ht="14" thickBot="1" x14ac:dyDescent="0.4">
      <c r="C5" s="48" t="s">
        <v>33</v>
      </c>
    </row>
    <row r="6" spans="2:5" x14ac:dyDescent="0.35">
      <c r="B6" s="121">
        <v>45017</v>
      </c>
      <c r="C6" s="127">
        <f>50.87*0.8+51.11*0.2</f>
        <v>50.917999999999999</v>
      </c>
    </row>
    <row r="7" spans="2:5" x14ac:dyDescent="0.35">
      <c r="B7" s="122">
        <v>45047</v>
      </c>
      <c r="C7" s="117">
        <f>43.39*0.8+51.11*0.2</f>
        <v>44.934000000000005</v>
      </c>
    </row>
    <row r="8" spans="2:5" x14ac:dyDescent="0.35">
      <c r="B8" s="122">
        <v>45078</v>
      </c>
      <c r="C8" s="117">
        <f>40.68*0.8+51.11*0.2</f>
        <v>42.766000000000005</v>
      </c>
    </row>
    <row r="9" spans="2:5" x14ac:dyDescent="0.35">
      <c r="B9" s="122">
        <v>45108</v>
      </c>
      <c r="C9" s="117">
        <f>0.8*30.33+0.2*31.91</f>
        <v>30.646000000000001</v>
      </c>
    </row>
    <row r="10" spans="2:5" x14ac:dyDescent="0.35">
      <c r="B10" s="122">
        <v>45139</v>
      </c>
      <c r="C10" s="117">
        <f>0.8*32.54+0.2*31.91</f>
        <v>32.414000000000001</v>
      </c>
    </row>
    <row r="11" spans="2:5" x14ac:dyDescent="0.35">
      <c r="B11" s="122">
        <v>45170</v>
      </c>
      <c r="C11" s="117">
        <f>0.8*30.58+0.2*31.91</f>
        <v>30.846</v>
      </c>
    </row>
    <row r="12" spans="2:5" x14ac:dyDescent="0.35">
      <c r="B12" s="125">
        <v>45200</v>
      </c>
      <c r="C12" s="117">
        <f>0.8*38.67+0.2*45.62</f>
        <v>40.06</v>
      </c>
    </row>
    <row r="13" spans="2:5" x14ac:dyDescent="0.35">
      <c r="B13" s="125">
        <v>45231</v>
      </c>
      <c r="C13" s="117">
        <f>0.8*43.46+0.2*45.62</f>
        <v>43.892000000000003</v>
      </c>
    </row>
    <row r="14" spans="2:5" x14ac:dyDescent="0.35">
      <c r="B14" s="125">
        <v>45261</v>
      </c>
      <c r="C14" s="117">
        <f>0.8*49.94+0.2*45.62</f>
        <v>49.076000000000001</v>
      </c>
    </row>
    <row r="15" spans="2:5" x14ac:dyDescent="0.35">
      <c r="B15" s="125">
        <v>45292</v>
      </c>
      <c r="C15" s="117">
        <f>0.8*45.58+0.2*45.74</f>
        <v>45.612000000000002</v>
      </c>
      <c r="D15" s="87"/>
    </row>
    <row r="16" spans="2:5" x14ac:dyDescent="0.35">
      <c r="B16" s="125">
        <v>45323</v>
      </c>
      <c r="C16" s="117">
        <f>0.8*34.13+0.2*45.74</f>
        <v>36.452000000000005</v>
      </c>
      <c r="D16" s="87"/>
    </row>
    <row r="17" spans="2:4" x14ac:dyDescent="0.35">
      <c r="B17" s="125">
        <v>45352</v>
      </c>
      <c r="C17" s="117">
        <f>0.8*28.3+0.2*45.74</f>
        <v>31.788000000000004</v>
      </c>
      <c r="D17" s="87"/>
    </row>
    <row r="18" spans="2:4" x14ac:dyDescent="0.35">
      <c r="B18" s="125">
        <v>45383</v>
      </c>
      <c r="C18" s="117">
        <f>0.8*25.1+0.2*25.33</f>
        <v>25.146000000000001</v>
      </c>
      <c r="D18" s="87"/>
    </row>
    <row r="19" spans="2:4" x14ac:dyDescent="0.35">
      <c r="B19" s="125">
        <v>45413</v>
      </c>
      <c r="C19" s="117">
        <f>0.8*26.64+0.2*25.33</f>
        <v>26.378</v>
      </c>
      <c r="D19" s="87"/>
    </row>
    <row r="20" spans="2:4" ht="14" thickBot="1" x14ac:dyDescent="0.4">
      <c r="B20" s="123">
        <v>45444</v>
      </c>
      <c r="C20" s="120">
        <f>0.8*28.72+0.2*25.33</f>
        <v>28.041999999999998</v>
      </c>
      <c r="D20" s="87">
        <f>C20-C19</f>
        <v>1.6639999999999979</v>
      </c>
    </row>
    <row r="24" spans="2:4" x14ac:dyDescent="0.35">
      <c r="B24" s="37" t="s">
        <v>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0">
    <tabColor theme="8"/>
  </sheetPr>
  <dimension ref="A2:AT26"/>
  <sheetViews>
    <sheetView showGridLines="0" zoomScale="49" zoomScaleNormal="100" workbookViewId="0">
      <selection activeCell="C159" sqref="C159"/>
    </sheetView>
  </sheetViews>
  <sheetFormatPr baseColWidth="10" defaultColWidth="11" defaultRowHeight="13.5" x14ac:dyDescent="0.35"/>
  <cols>
    <col min="1" max="1" width="11" style="27"/>
    <col min="2" max="2" width="25.1640625" style="27" customWidth="1"/>
    <col min="3" max="3" width="22.58203125" style="27" customWidth="1"/>
    <col min="4" max="4" width="43.1640625" style="27" customWidth="1"/>
    <col min="5" max="5" width="20.58203125" style="27" customWidth="1"/>
    <col min="6" max="6" width="24.58203125" style="27" customWidth="1"/>
    <col min="7" max="11" width="20.58203125" style="27" customWidth="1"/>
    <col min="12" max="12" width="24.58203125" style="27" customWidth="1"/>
    <col min="13" max="13" width="26.08203125" style="27" customWidth="1"/>
    <col min="14" max="23" width="20.58203125" style="27" customWidth="1"/>
    <col min="24" max="24" width="38.58203125" style="27" customWidth="1"/>
    <col min="25" max="30" width="11" style="27"/>
    <col min="31" max="31" width="25.6640625" style="27" customWidth="1"/>
    <col min="32" max="32" width="20.6640625" style="27" customWidth="1"/>
    <col min="33" max="33" width="23.1640625" style="27" customWidth="1"/>
    <col min="34" max="34" width="28" style="27" customWidth="1"/>
    <col min="35" max="35" width="20.08203125" style="27" customWidth="1"/>
    <col min="36" max="36" width="11" style="27"/>
    <col min="37" max="37" width="21.58203125" style="27" customWidth="1"/>
    <col min="38" max="38" width="11" style="27"/>
    <col min="39" max="39" width="19.6640625" style="27" customWidth="1"/>
    <col min="40" max="40" width="11" style="27"/>
    <col min="41" max="41" width="21" style="27" customWidth="1"/>
    <col min="42" max="42" width="11" style="27"/>
    <col min="43" max="43" width="25" style="27" customWidth="1"/>
    <col min="44" max="44" width="21.6640625" style="27" customWidth="1"/>
    <col min="45" max="45" width="24.58203125" style="27" customWidth="1"/>
    <col min="46" max="46" width="25.5" style="27" customWidth="1"/>
    <col min="47" max="16384" width="11" style="27"/>
  </cols>
  <sheetData>
    <row r="2" spans="1:46" ht="21.75" customHeight="1" x14ac:dyDescent="0.5">
      <c r="B2" s="29" t="s">
        <v>86</v>
      </c>
      <c r="E2" s="28"/>
    </row>
    <row r="3" spans="1:46" ht="23.25" customHeight="1" thickBot="1" x14ac:dyDescent="0.4">
      <c r="B3" s="5"/>
      <c r="C3" s="5"/>
      <c r="D3" s="5"/>
      <c r="E3" s="138"/>
      <c r="F3" s="138"/>
      <c r="Q3" s="139"/>
      <c r="R3" s="139"/>
      <c r="AS3" s="139"/>
      <c r="AT3" s="139"/>
    </row>
    <row r="4" spans="1:46" ht="15.75" customHeight="1" thickBot="1" x14ac:dyDescent="0.4">
      <c r="B4" s="97"/>
      <c r="C4" s="140" t="s">
        <v>49</v>
      </c>
      <c r="D4" s="141"/>
      <c r="E4" s="140" t="s">
        <v>70</v>
      </c>
      <c r="F4" s="141"/>
      <c r="G4" s="140" t="s">
        <v>60</v>
      </c>
      <c r="H4" s="145"/>
      <c r="I4" s="140" t="s">
        <v>34</v>
      </c>
      <c r="J4" s="141"/>
      <c r="K4" s="140" t="s">
        <v>35</v>
      </c>
      <c r="L4" s="141"/>
      <c r="M4" s="140" t="s">
        <v>36</v>
      </c>
      <c r="N4" s="141"/>
      <c r="O4" s="140" t="s">
        <v>37</v>
      </c>
      <c r="P4" s="141"/>
      <c r="Q4" s="140" t="s">
        <v>38</v>
      </c>
      <c r="R4" s="141"/>
      <c r="S4" s="140" t="s">
        <v>39</v>
      </c>
      <c r="T4" s="141"/>
      <c r="U4" s="140" t="s">
        <v>52</v>
      </c>
      <c r="V4" s="141"/>
      <c r="W4" s="140" t="s">
        <v>73</v>
      </c>
      <c r="X4" s="141"/>
      <c r="Y4" s="140" t="s">
        <v>54</v>
      </c>
      <c r="Z4" s="141"/>
      <c r="AA4" s="140" t="s">
        <v>43</v>
      </c>
      <c r="AB4" s="141"/>
      <c r="AC4" s="140" t="s">
        <v>55</v>
      </c>
      <c r="AD4" s="141"/>
      <c r="AE4" s="135" t="s">
        <v>44</v>
      </c>
      <c r="AF4" s="136"/>
      <c r="AG4" s="140" t="s">
        <v>56</v>
      </c>
      <c r="AH4" s="141"/>
      <c r="AI4" s="142" t="s">
        <v>45</v>
      </c>
      <c r="AJ4" s="143"/>
      <c r="AK4" s="142" t="s">
        <v>46</v>
      </c>
      <c r="AL4" s="143"/>
      <c r="AM4" s="144" t="s">
        <v>47</v>
      </c>
      <c r="AN4" s="143"/>
      <c r="AO4" s="140" t="s">
        <v>63</v>
      </c>
      <c r="AP4" s="145"/>
      <c r="AQ4" s="142" t="s">
        <v>48</v>
      </c>
      <c r="AR4" s="143"/>
      <c r="AS4" s="142" t="s">
        <v>72</v>
      </c>
      <c r="AT4" s="143"/>
    </row>
    <row r="5" spans="1:46" ht="14" thickBot="1" x14ac:dyDescent="0.4">
      <c r="B5" s="18" t="s">
        <v>18</v>
      </c>
      <c r="C5" s="26" t="s">
        <v>62</v>
      </c>
      <c r="D5" s="26" t="s">
        <v>42</v>
      </c>
      <c r="E5" s="26" t="s">
        <v>62</v>
      </c>
      <c r="F5" s="26" t="s">
        <v>42</v>
      </c>
      <c r="G5" s="26" t="s">
        <v>62</v>
      </c>
      <c r="H5" s="26" t="s">
        <v>42</v>
      </c>
      <c r="I5" s="26" t="s">
        <v>62</v>
      </c>
      <c r="J5" s="26" t="s">
        <v>42</v>
      </c>
      <c r="K5" s="26" t="s">
        <v>62</v>
      </c>
      <c r="L5" s="26" t="s">
        <v>42</v>
      </c>
      <c r="M5" s="26" t="s">
        <v>62</v>
      </c>
      <c r="N5" s="26" t="s">
        <v>42</v>
      </c>
      <c r="O5" s="26" t="s">
        <v>62</v>
      </c>
      <c r="P5" s="26" t="s">
        <v>42</v>
      </c>
      <c r="Q5" s="26" t="s">
        <v>62</v>
      </c>
      <c r="R5" s="26" t="s">
        <v>42</v>
      </c>
      <c r="S5" s="26" t="s">
        <v>62</v>
      </c>
      <c r="T5" s="26" t="s">
        <v>42</v>
      </c>
      <c r="U5" s="26" t="s">
        <v>62</v>
      </c>
      <c r="V5" s="26" t="s">
        <v>42</v>
      </c>
      <c r="W5" s="26" t="s">
        <v>62</v>
      </c>
      <c r="X5" s="26" t="s">
        <v>42</v>
      </c>
      <c r="Y5" s="26" t="s">
        <v>62</v>
      </c>
      <c r="Z5" s="26" t="s">
        <v>42</v>
      </c>
      <c r="AA5" s="26" t="s">
        <v>62</v>
      </c>
      <c r="AB5" s="26" t="s">
        <v>42</v>
      </c>
      <c r="AC5" s="26" t="s">
        <v>62</v>
      </c>
      <c r="AD5" s="26" t="s">
        <v>42</v>
      </c>
      <c r="AE5" s="26" t="s">
        <v>62</v>
      </c>
      <c r="AF5" s="26" t="s">
        <v>42</v>
      </c>
      <c r="AG5" s="26" t="s">
        <v>62</v>
      </c>
      <c r="AH5" s="26" t="s">
        <v>42</v>
      </c>
      <c r="AI5" s="26" t="s">
        <v>62</v>
      </c>
      <c r="AJ5" s="26" t="s">
        <v>42</v>
      </c>
      <c r="AK5" s="26" t="s">
        <v>62</v>
      </c>
      <c r="AL5" s="26" t="s">
        <v>42</v>
      </c>
      <c r="AM5" s="26" t="s">
        <v>62</v>
      </c>
      <c r="AN5" s="26" t="s">
        <v>42</v>
      </c>
      <c r="AO5" s="26" t="s">
        <v>62</v>
      </c>
      <c r="AP5" s="26" t="s">
        <v>42</v>
      </c>
      <c r="AQ5" s="26" t="s">
        <v>62</v>
      </c>
      <c r="AR5" s="26" t="s">
        <v>42</v>
      </c>
      <c r="AS5" s="26" t="s">
        <v>62</v>
      </c>
      <c r="AT5" s="26" t="s">
        <v>42</v>
      </c>
    </row>
    <row r="6" spans="1:46" ht="14" thickBot="1" x14ac:dyDescent="0.4">
      <c r="B6" s="59" t="s">
        <v>20</v>
      </c>
      <c r="C6" s="50">
        <v>116.27999999999999</v>
      </c>
      <c r="D6" s="51">
        <f>($C$14-$C$6)/'Consommateurs types'!$D$5</f>
        <v>99.44957737351551</v>
      </c>
      <c r="E6" s="52">
        <v>181.32</v>
      </c>
      <c r="F6" s="51">
        <f>($D$14-$E$6)/'Consommateurs types'!$D$5</f>
        <v>47.26493412938904</v>
      </c>
      <c r="G6" s="52">
        <v>113.88000000000001</v>
      </c>
      <c r="H6" s="51">
        <f>($E$14-$G$6)/'Consommateurs types'!$D$5</f>
        <v>152.12826027378944</v>
      </c>
      <c r="I6" s="52">
        <v>44.639999999999993</v>
      </c>
      <c r="J6" s="51">
        <f>($F$14-$I$6)/'Consommateurs types'!$D$5</f>
        <v>157.43781786532409</v>
      </c>
      <c r="K6" s="52">
        <v>94.32</v>
      </c>
      <c r="L6" s="51">
        <f>($G$14-$K$6)/'Consommateurs types'!$D$5</f>
        <v>135.13221475539913</v>
      </c>
      <c r="M6" s="52">
        <v>100.2</v>
      </c>
      <c r="N6" s="51">
        <f>($H$14-$M$6)/'Consommateurs types'!$D$5</f>
        <v>103.93210357960979</v>
      </c>
      <c r="O6" s="52">
        <v>147.84</v>
      </c>
      <c r="P6" s="51">
        <f>($I$14-$O$6)/'Consommateurs types'!$D$5</f>
        <v>75.613055960562178</v>
      </c>
      <c r="Q6" s="52">
        <v>94.799999999999983</v>
      </c>
      <c r="R6" s="51">
        <f>($J$14-$Q$6)/'Consommateurs types'!$D$5</f>
        <v>120.85236115533682</v>
      </c>
      <c r="S6" s="52">
        <v>94.52000000000001</v>
      </c>
      <c r="T6" s="51">
        <f>($K$14-$S$6)/'Consommateurs types'!$D$5</f>
        <v>130.12627207200788</v>
      </c>
      <c r="U6" s="51">
        <v>72.599999999999994</v>
      </c>
      <c r="V6" s="51">
        <f>($L$14-$U$6)/'Consommateurs types'!$D$5</f>
        <v>142.70040556130729</v>
      </c>
      <c r="W6" s="51">
        <v>57.639999999999993</v>
      </c>
      <c r="X6" s="51">
        <f>($M$14-$W$6)/'Consommateurs types'!$D$5</f>
        <v>154.97298980211306</v>
      </c>
      <c r="Y6" s="53">
        <v>90.419999999999987</v>
      </c>
      <c r="Z6" s="51">
        <f>($N$14-$Y$6)/'Consommateurs types'!$D$5</f>
        <v>127.580958978273</v>
      </c>
      <c r="AA6" s="51">
        <v>82.94</v>
      </c>
      <c r="AB6" s="51">
        <f>($O$14-$AA$6)/'Consommateurs types'!$D$5</f>
        <v>133.6075463991273</v>
      </c>
      <c r="AC6" s="51">
        <v>55.79999999999999</v>
      </c>
      <c r="AD6" s="51">
        <f>($P$14-$AC$6)/'Consommateurs types'!$D$5</f>
        <v>158.90531865648481</v>
      </c>
      <c r="AE6" s="51">
        <v>87.639999999999986</v>
      </c>
      <c r="AF6" s="51">
        <f>($Q$14-$AE$6)/'Consommateurs types'!$D$5</f>
        <v>129.18712341688132</v>
      </c>
      <c r="AG6" s="51">
        <v>75.139999999999986</v>
      </c>
      <c r="AH6" s="51">
        <f>($R$14-$AG$6)/'Consommateurs types'!$D$5</f>
        <v>140.4417855099646</v>
      </c>
      <c r="AI6" s="51">
        <v>98.639999999999986</v>
      </c>
      <c r="AJ6" s="51">
        <f>($S$14-$AI$6)/'Consommateurs types'!$D$5</f>
        <v>124.377784943214</v>
      </c>
      <c r="AK6" s="51">
        <v>110.63999999999999</v>
      </c>
      <c r="AL6" s="51">
        <f>($T$14-$AK$6)/'Consommateurs types'!$D$5</f>
        <v>115.95753121871114</v>
      </c>
      <c r="AM6" s="51">
        <v>87.84</v>
      </c>
      <c r="AN6" s="51">
        <f>($U$14-$AM$6)/'Consommateurs types'!$D$5</f>
        <v>129.64723131415116</v>
      </c>
      <c r="AO6" s="51">
        <v>99.639999999999986</v>
      </c>
      <c r="AP6" s="51">
        <f>($V$14-$AO$6)/'Consommateurs types'!$D$5</f>
        <v>121.601970904434</v>
      </c>
      <c r="AQ6" s="51">
        <v>67.889999999999986</v>
      </c>
      <c r="AR6" s="51">
        <f>($W$14-$AQ$6)/'Consommateurs types'!$D$5</f>
        <v>144.39030999349436</v>
      </c>
      <c r="AS6" s="51">
        <v>204.08000000000004</v>
      </c>
      <c r="AT6" s="77">
        <f>($X$14-$AS$6)/'Consommateurs types'!$D$5</f>
        <v>70.958632542087415</v>
      </c>
    </row>
    <row r="7" spans="1:46" ht="14" thickBot="1" x14ac:dyDescent="0.4">
      <c r="B7" s="41" t="s">
        <v>17</v>
      </c>
      <c r="C7" s="54">
        <v>296.88</v>
      </c>
      <c r="D7" s="55">
        <f>($C$15-$C$7)/'Consommateurs types'!$D$6</f>
        <v>58.123860798878574</v>
      </c>
      <c r="E7" s="56">
        <v>283.8</v>
      </c>
      <c r="F7" s="55">
        <f>($D$15-$E$7)/'Consommateurs types'!$D$6</f>
        <v>59.574126244457133</v>
      </c>
      <c r="G7" s="56">
        <v>297.96000000000004</v>
      </c>
      <c r="H7" s="55">
        <f>($E$15-$G$7)/'Consommateurs types'!$D$6</f>
        <v>76.200723077880568</v>
      </c>
      <c r="I7" s="56">
        <v>181.44</v>
      </c>
      <c r="J7" s="55">
        <f>($F$15-$I$7)/'Consommateurs types'!$D$6</f>
        <v>66.271979006299887</v>
      </c>
      <c r="K7" s="56">
        <v>261.12</v>
      </c>
      <c r="L7" s="55">
        <f>($G$15-$K$7)/'Consommateurs types'!$D$6</f>
        <v>62.075612458352992</v>
      </c>
      <c r="M7" s="56">
        <v>242.28</v>
      </c>
      <c r="N7" s="55">
        <f>($H$15-$M$7)/'Consommateurs types'!$D$6</f>
        <v>58.836370697694562</v>
      </c>
      <c r="O7" s="56">
        <v>224.88</v>
      </c>
      <c r="P7" s="55">
        <f>($I$15-$O$7)/'Consommateurs types'!$D$6</f>
        <v>63.096133308970529</v>
      </c>
      <c r="Q7" s="56">
        <v>199.2</v>
      </c>
      <c r="R7" s="55">
        <f>($J$15-$Q$7)/'Consommateurs types'!$D$6</f>
        <v>69.28022060341425</v>
      </c>
      <c r="S7" s="57">
        <v>326.53999999999996</v>
      </c>
      <c r="T7" s="55">
        <f>($K$15-$S$7)/'Consommateurs types'!$D$6</f>
        <v>59.580524190360499</v>
      </c>
      <c r="U7" s="55">
        <v>249.23999999999998</v>
      </c>
      <c r="V7" s="55">
        <f>($L$15-$U$7)/'Consommateurs types'!$D$6</f>
        <v>63.186442832255672</v>
      </c>
      <c r="W7" s="55">
        <v>177.23999999999998</v>
      </c>
      <c r="X7" s="55">
        <f>($M$15-$W$7)/'Consommateurs types'!$D$6</f>
        <v>68.907588773295046</v>
      </c>
      <c r="Y7" s="55">
        <v>217.45</v>
      </c>
      <c r="Z7" s="55">
        <f>($N$15-$Y$7)/'Consommateurs types'!$D$6</f>
        <v>63.014225817100922</v>
      </c>
      <c r="AA7" s="55">
        <v>240.02999999999997</v>
      </c>
      <c r="AB7" s="55">
        <f>($O$15-$AA$7)/'Consommateurs types'!$D$6</f>
        <v>62.353896915506596</v>
      </c>
      <c r="AC7" s="55">
        <v>195.71999999999997</v>
      </c>
      <c r="AD7" s="55">
        <f>($P$15-$AC$7)/'Consommateurs types'!$D$6</f>
        <v>73.125174717416158</v>
      </c>
      <c r="AE7" s="55">
        <v>251.23999999999998</v>
      </c>
      <c r="AF7" s="55">
        <f>($Q$15-$AE$7)/'Consommateurs types'!$D$6</f>
        <v>59.924174020366607</v>
      </c>
      <c r="AG7" s="55">
        <v>249.73999999999998</v>
      </c>
      <c r="AH7" s="55">
        <f>($R$15-$AG$7)/'Consommateurs types'!$D$6</f>
        <v>62.992759598126938</v>
      </c>
      <c r="AI7" s="55">
        <v>330.24</v>
      </c>
      <c r="AJ7" s="55">
        <f>($S$15-$AI$7)/'Consommateurs types'!$D$6</f>
        <v>62.49291483903523</v>
      </c>
      <c r="AK7" s="55">
        <v>381.24</v>
      </c>
      <c r="AL7" s="55">
        <f>($T$15-$AK$7)/'Consommateurs types'!$D$6</f>
        <v>60.304831229826824</v>
      </c>
      <c r="AM7" s="55">
        <v>284.03999999999996</v>
      </c>
      <c r="AN7" s="55">
        <f>($U$15-$AM$7)/'Consommateurs types'!$D$6</f>
        <v>58.738507377001625</v>
      </c>
      <c r="AO7" s="55">
        <v>219.23999999999998</v>
      </c>
      <c r="AP7" s="55">
        <f>($V$15-$AO$7)/'Consommateurs types'!$D$6</f>
        <v>66.287100858154446</v>
      </c>
      <c r="AQ7" s="55">
        <v>211.07</v>
      </c>
      <c r="AR7" s="55">
        <f>($W$15-$AQ$7)/'Consommateurs types'!$D$6</f>
        <v>62.161280114139352</v>
      </c>
      <c r="AS7" s="51">
        <v>357.13599999999997</v>
      </c>
      <c r="AT7" s="78">
        <f>($X$15-$AS$7)/'Consommateurs types'!$D$6</f>
        <v>66.06563069549567</v>
      </c>
    </row>
    <row r="8" spans="1:46" x14ac:dyDescent="0.35">
      <c r="C8" s="38"/>
      <c r="E8" s="36"/>
      <c r="F8" s="36"/>
    </row>
    <row r="9" spans="1:46" ht="56.15" customHeight="1" x14ac:dyDescent="0.35">
      <c r="C9" s="149" t="s">
        <v>82</v>
      </c>
      <c r="D9" s="149"/>
      <c r="E9" s="149"/>
      <c r="F9" s="149"/>
    </row>
    <row r="11" spans="1:46" ht="15.65" customHeight="1" thickBot="1" x14ac:dyDescent="0.4">
      <c r="B11" s="102" t="s">
        <v>81</v>
      </c>
    </row>
    <row r="12" spans="1:46" ht="14" thickBot="1" x14ac:dyDescent="0.4">
      <c r="C12" s="146" t="s">
        <v>78</v>
      </c>
      <c r="D12" s="147"/>
      <c r="E12" s="147"/>
      <c r="F12" s="147"/>
      <c r="G12" s="147"/>
      <c r="H12" s="147"/>
      <c r="I12" s="147"/>
      <c r="J12" s="147"/>
      <c r="K12" s="147"/>
      <c r="L12" s="147"/>
      <c r="M12" s="147"/>
      <c r="N12" s="147"/>
      <c r="O12" s="147"/>
      <c r="P12" s="147"/>
      <c r="Q12" s="147"/>
      <c r="R12" s="147"/>
      <c r="S12" s="147"/>
      <c r="T12" s="147"/>
      <c r="U12" s="147"/>
      <c r="V12" s="147"/>
      <c r="W12" s="147"/>
      <c r="X12" s="148"/>
    </row>
    <row r="13" spans="1:46" s="113" customFormat="1" ht="32.5" thickBot="1" x14ac:dyDescent="0.45">
      <c r="B13" s="114" t="s">
        <v>18</v>
      </c>
      <c r="C13" s="115" t="s">
        <v>49</v>
      </c>
      <c r="D13" s="115" t="str">
        <f>E4</f>
        <v>Electricité de Strasbourg (anciennes concessions)</v>
      </c>
      <c r="E13" s="115" t="s">
        <v>51</v>
      </c>
      <c r="F13" s="115" t="s">
        <v>34</v>
      </c>
      <c r="G13" s="115" t="s">
        <v>35</v>
      </c>
      <c r="H13" s="115" t="s">
        <v>36</v>
      </c>
      <c r="I13" s="115" t="s">
        <v>37</v>
      </c>
      <c r="J13" s="115" t="s">
        <v>38</v>
      </c>
      <c r="K13" s="115" t="s">
        <v>39</v>
      </c>
      <c r="L13" s="115" t="s">
        <v>52</v>
      </c>
      <c r="M13" s="115" t="s">
        <v>53</v>
      </c>
      <c r="N13" s="115" t="s">
        <v>54</v>
      </c>
      <c r="O13" s="115" t="s">
        <v>43</v>
      </c>
      <c r="P13" s="115" t="s">
        <v>55</v>
      </c>
      <c r="Q13" s="115" t="s">
        <v>44</v>
      </c>
      <c r="R13" s="115" t="s">
        <v>56</v>
      </c>
      <c r="S13" s="115" t="s">
        <v>45</v>
      </c>
      <c r="T13" s="115" t="s">
        <v>46</v>
      </c>
      <c r="U13" s="115" t="s">
        <v>47</v>
      </c>
      <c r="V13" s="115" t="s">
        <v>57</v>
      </c>
      <c r="W13" s="115" t="s">
        <v>48</v>
      </c>
      <c r="X13" s="116" t="str">
        <f>AS4</f>
        <v>Electricité de Strasbourg (nouvelles concessions)</v>
      </c>
    </row>
    <row r="14" spans="1:46" s="103" customFormat="1" ht="16" x14ac:dyDescent="0.4">
      <c r="A14" s="104"/>
      <c r="B14" s="105" t="s">
        <v>20</v>
      </c>
      <c r="C14" s="106">
        <f>ATRD!D5+'Coûts commerciaux'!$C5+'Consommateurs types'!$D5*(ATRD!E5+'Transport &amp; stockage'!$C$6+'Coûts d''approvisionnement'!$E$2+SUM('Coûts commerciaux'!$D$5:$G$5))</f>
        <v>241.58646749062953</v>
      </c>
      <c r="D14" s="107">
        <f>ATRD!F5+'Coûts commerciaux'!$C5+'Consommateurs types'!$D5*(ATRD!G5+'Transport &amp; stockage'!D6+'Coûts d''approvisionnement'!$E$2+SUM('Coûts commerciaux'!$D5:$G5))</f>
        <v>240.87381700303018</v>
      </c>
      <c r="E14" s="107">
        <f>ATRD!H5+'Coûts commerciaux'!$C5+'Consommateurs types'!$D5*(ATRD!I5+'Transport &amp; stockage'!E6+'Coûts d''approvisionnement'!$E$2+SUM('Coûts commerciaux'!$D5:$G5))</f>
        <v>305.5616079449747</v>
      </c>
      <c r="F14" s="107">
        <f>ATRD!J5+'Coûts commerciaux'!$C5+'Consommateurs types'!$D5*(ATRD!K5+'Transport &amp; stockage'!F6+'Coûts d''approvisionnement'!$E$2+SUM('Coûts commerciaux'!$D5:$G5))</f>
        <v>243.01165051030833</v>
      </c>
      <c r="G14" s="107">
        <f>ATRD!L5+'Coûts commerciaux'!$C5+'Consommateurs types'!$D5*(ATRD!M5+'Transport &amp; stockage'!G6+'Coûts d''approvisionnement'!$E$2+SUM('Coûts commerciaux'!$D5:$G5))</f>
        <v>264.58659059180292</v>
      </c>
      <c r="H14" s="107">
        <f>ATRD!N5+'Coûts commerciaux'!$C5+'Consommateurs types'!$D5*(ATRD!O5+'Transport &amp; stockage'!H6+'Coûts d''approvisionnement'!$E$2+SUM('Coûts commerciaux'!$D5:$G5))</f>
        <v>231.15445051030832</v>
      </c>
      <c r="I14" s="107">
        <f>ATRD!P5+'Coûts commerciaux'!$C5+'Consommateurs types'!$D5*(ATRD!Q5+'Transport &amp; stockage'!I6+'Coûts d''approvisionnement'!$E$2+SUM('Coûts commerciaux'!$D5:$G5))</f>
        <v>243.11245051030835</v>
      </c>
      <c r="J14" s="107">
        <f>ATRD!R5+'Coûts commerciaux'!$C5+'Consommateurs types'!$D5*(ATRD!S5+'Transport &amp; stockage'!J6+'Coûts d''approvisionnement'!$E$2+SUM('Coûts commerciaux'!$D5:$G5))</f>
        <v>247.07397505572439</v>
      </c>
      <c r="K14" s="107">
        <f>ATRD!T5+'Coûts commerciaux'!$C5+'Consommateurs types'!$D5*(ATRD!U5+'Transport &amp; stockage'!K6+'Coûts d''approvisionnement'!$E$2+SUM('Coûts commerciaux'!$D5:$G5))</f>
        <v>258.47910281072996</v>
      </c>
      <c r="L14" s="107">
        <f>ATRD!$V5+'Coûts commerciaux'!$C5+'Consommateurs types'!$D5*(ATRD!$W5+'Transport &amp; stockage'!L6+'Coûts d''approvisionnement'!$E$2+SUM('Coûts commerciaux'!$D5:$G5))</f>
        <v>252.4025110072472</v>
      </c>
      <c r="M14" s="107">
        <f>ATRD!$V5+'Coûts commerciaux'!$C5+'Consommateurs types'!$D5*(ATRD!$W5+'Transport &amp; stockage'!M6+'Coûts d''approvisionnement'!$E$2+SUM('Coûts commerciaux'!$D5:$G5))</f>
        <v>252.90596715066243</v>
      </c>
      <c r="N14" s="107">
        <f>ATRD!$V5+'Coûts commerciaux'!$C5+'Consommateurs types'!$D5*(ATRD!$W5+'Transport &amp; stockage'!N6+'Coûts d''approvisionnement'!$E$2+SUM('Coûts commerciaux'!$D5:$G5))</f>
        <v>251.17200831262397</v>
      </c>
      <c r="O14" s="107">
        <f>ATRD!$V5+'Coûts commerciaux'!$C5+'Consommateurs types'!$D5*(ATRD!$W5+'Transport &amp; stockage'!O6+'Coûts d''approvisionnement'!$E$2+SUM('Coûts commerciaux'!$D5:$G5))</f>
        <v>251.2855084629004</v>
      </c>
      <c r="P14" s="107">
        <f>ATRD!$V5+'Coûts commerciaux'!$C5+'Consommateurs types'!$D5*(ATRD!$W5+'Transport &amp; stockage'!P6+'Coûts d''approvisionnement'!$E$2+SUM('Coûts commerciaux'!$D5:$G5))</f>
        <v>256.02070150717083</v>
      </c>
      <c r="Q14" s="107">
        <f>ATRD!$V5+'Coûts commerciaux'!$C5+'Consommateurs types'!$D5*(ATRD!$W5+'Transport &amp; stockage'!Q6+'Coûts d''approvisionnement'!$E$2+SUM('Coûts commerciaux'!$D5:$G5))</f>
        <v>250.41577550527046</v>
      </c>
      <c r="R14" s="107">
        <f>ATRD!$V5+'Coûts commerciaux'!$C5+'Consommateurs types'!$D5*(ATRD!$W5+'Transport &amp; stockage'!R6+'Coûts d''approvisionnement'!$E$2+SUM('Coûts commerciaux'!$D5:$G5))</f>
        <v>252.09664974255537</v>
      </c>
      <c r="S14" s="107">
        <f>ATRD!$V5+'Coûts commerciaux'!$C5+'Consommateurs types'!$D5*(ATRD!$W5+'Transport &amp; stockage'!S6+'Coûts d''approvisionnement'!$E$2+SUM('Coûts commerciaux'!$D5:$G5))</f>
        <v>255.35600902844962</v>
      </c>
      <c r="T14" s="107">
        <f>ATRD!$V5+'Coûts commerciaux'!$C5+'Consommateurs types'!$D5*(ATRD!$W5+'Transport &amp; stockage'!T6+'Coûts d''approvisionnement'!$E$2+SUM('Coûts commerciaux'!$D5:$G5))</f>
        <v>256.74648933557603</v>
      </c>
      <c r="U14" s="107">
        <f>ATRD!$V5+'Coûts commerciaux'!$C5+'Consommateurs types'!$D5*(ATRD!$W5+'Transport &amp; stockage'!U6+'Coûts d''approvisionnement'!$E$2+SUM('Coûts commerciaux'!$D5:$G5))</f>
        <v>251.19551145583046</v>
      </c>
      <c r="V14" s="107">
        <f>ATRD!$V5+'Coûts commerciaux'!$C5+'Consommateurs types'!$D5*(ATRD!$W5+'Transport &amp; stockage'!V6+'Coûts d''approvisionnement'!$E$2+SUM('Coûts commerciaux'!$D5:$G5))</f>
        <v>252.85848333958683</v>
      </c>
      <c r="W14" s="107">
        <f>ATRD!$V5+'Coûts commerciaux'!$C5+'Consommateurs types'!$D5*(ATRD!$W5+'Transport &amp; stockage'!W6+'Coûts d''approvisionnement'!$E$2+SUM('Coûts commerciaux'!$D5:$G5))</f>
        <v>249.82179059180288</v>
      </c>
      <c r="X14" s="108">
        <f>ATRD!$X5+'Coûts commerciaux'!$C5+'Consommateurs types'!$D5*(ATRD!$Y5+'Transport &amp; stockage'!D6+'Coûts d''approvisionnement'!$E$2+SUM('Coûts commerciaux'!$D5:$G5))</f>
        <v>293.48787700303018</v>
      </c>
    </row>
    <row r="15" spans="1:46" s="103" customFormat="1" ht="16.5" thickBot="1" x14ac:dyDescent="0.45">
      <c r="A15" s="104"/>
      <c r="B15" s="109" t="s">
        <v>17</v>
      </c>
      <c r="C15" s="110">
        <f>ATRD!D6+'Coûts commerciaux'!$C6+'Consommateurs types'!$D6*(ATRD!E6+'Transport &amp; stockage'!C7+'Coûts d''approvisionnement'!$E$2+SUM('Coûts commerciaux'!$D6:$G6))</f>
        <v>1080.3896435688832</v>
      </c>
      <c r="D15" s="111">
        <f>ATRD!F6+'Coûts commerciaux'!$C6+'Consommateurs types'!$D6*(ATRD!G6+'Transport &amp; stockage'!D7+'Coûts d''approvisionnement'!$E$2+SUM('Coûts commerciaux'!$D6:$G6))</f>
        <v>1086.8592217752821</v>
      </c>
      <c r="E15" s="111">
        <f>ATRD!H6+'Coûts commerciaux'!$C6+'Consommateurs types'!$D6*(ATRD!I6+'Transport &amp; stockage'!E7+'Coûts d''approvisionnement'!$E$2+SUM('Coûts commerciaux'!$D6:$G6))</f>
        <v>1325.1457470898301</v>
      </c>
      <c r="F15" s="111">
        <f>ATRD!J6+'Coûts commerciaux'!$C6+'Consommateurs types'!$D6*(ATRD!K6+'Transport &amp; stockage'!F7+'Coûts d''approvisionnement'!$E$2+SUM('Coûts commerciaux'!$D6:$G6))</f>
        <v>1074.7862770049226</v>
      </c>
      <c r="G15" s="111">
        <f>ATRD!L6+'Coûts commerciaux'!$C6+'Consommateurs types'!$D6*(ATRD!M6+'Transport &amp; stockage'!G7+'Coûts d''approvisionnement'!$E$2+SUM('Coûts commerciaux'!$D6:$G6))</f>
        <v>1097.8992559385983</v>
      </c>
      <c r="H15" s="111">
        <f>ATRD!N6+'Coûts commerciaux'!$C6+'Consommateurs types'!$D6*(ATRD!O6+'Transport &amp; stockage'!H7+'Coûts d''approvisionnement'!$E$2+SUM('Coûts commerciaux'!$D6:$G6))</f>
        <v>1035.3942770049227</v>
      </c>
      <c r="I15" s="111">
        <f>ATRD!P6+'Coûts commerciaux'!$C6+'Consommateurs types'!$D6*(ATRD!Q6+'Transport &amp; stockage'!I7+'Coûts d''approvisionnement'!$E$2+SUM('Coûts commerciaux'!$D6:$G6))</f>
        <v>1075.4158770049228</v>
      </c>
      <c r="J15" s="111">
        <f>ATRD!R6+'Coûts commerciaux'!$C6+'Consommateurs types'!$D6*(ATRD!S6+'Transport &amp; stockage'!J7+'Coûts d''approvisionnement'!$E$2+SUM('Coûts commerciaux'!$D6:$G6))</f>
        <v>1133.0973737340241</v>
      </c>
      <c r="K15" s="111">
        <f>ATRD!T6+'Coûts commerciaux'!$C6+'Consommateurs types'!$D6*(ATRD!U6+'Transport &amp; stockage'!K7+'Coûts d''approvisionnement'!$E$2+SUM('Coûts commerciaux'!$D6:$G6))</f>
        <v>1129.6854660860595</v>
      </c>
      <c r="L15" s="111">
        <f>ATRD!$V6+'Coûts commerciaux'!$C6+'Consommateurs types'!$D6*(ATRD!$W6+'Transport &amp; stockage'!L7+'Coûts d''approvisionnement'!$E$2+SUM('Coûts commerciaux'!$D6:$G6))</f>
        <v>1100.9932493788065</v>
      </c>
      <c r="M15" s="111">
        <f>ATRD!$V6+'Coûts commerciaux'!$C6+'Consommateurs types'!$D6*(ATRD!$W6+'Transport &amp; stockage'!M7+'Coûts d''approvisionnement'!$E$2+SUM('Coûts commerciaux'!$D6:$G6))</f>
        <v>1106.1142966640173</v>
      </c>
      <c r="N15" s="111">
        <f>ATRD!$V6+'Coûts commerciaux'!$C6+'Consommateurs types'!$D6*(ATRD!$W6+'Transport &amp; stockage'!N7+'Coûts d''approvisionnement'!$E$2+SUM('Coûts commerciaux'!$D6:$G6))</f>
        <v>1066.8817640145205</v>
      </c>
      <c r="O15" s="111">
        <f>ATRD!$V6+'Coûts commerciaux'!$C6+'Consommateurs types'!$D6*(ATRD!$W6+'Transport &amp; stockage'!O7+'Coûts d''approvisionnement'!$E$2+SUM('Coûts commerciaux'!$D6:$G6))</f>
        <v>1080.5605304210289</v>
      </c>
      <c r="P15" s="111">
        <f>ATRD!$V6+'Coûts commerciaux'!$C6+'Consommateurs types'!$D6*(ATRD!$W6+'Transport &amp; stockage'!P7+'Coûts d''approvisionnement'!$E$2+SUM('Coûts commerciaux'!$D6:$G6))</f>
        <v>1181.4473551907699</v>
      </c>
      <c r="Q15" s="111">
        <f>ATRD!$V6+'Coûts commerciaux'!$C6+'Consommateurs types'!$D6*(ATRD!$W6+'Transport &amp; stockage'!Q7+'Coûts d''approvisionnement'!$E$2+SUM('Coûts commerciaux'!$D6:$G6))</f>
        <v>1059.0178657945419</v>
      </c>
      <c r="R15" s="111">
        <f>ATRD!$V6+'Coûts commerciaux'!$C6+'Consommateurs types'!$D6*(ATRD!$W6+'Transport &amp; stockage'!R7+'Coûts d''approvisionnement'!$E$2+SUM('Coûts commerciaux'!$D6:$G6))</f>
        <v>1098.8823993827511</v>
      </c>
      <c r="S15" s="111">
        <f>ATRD!$V6+'Coûts commerciaux'!$C6+'Consommateurs types'!$D6*(ATRD!$W6+'Transport &amp; stockage'!S7+'Coûts d''approvisionnement'!$E$2+SUM('Coûts commerciaux'!$D6:$G6))</f>
        <v>1172.6444920301949</v>
      </c>
      <c r="T15" s="111">
        <f>ATRD!$V6+'Coûts commerciaux'!$C6+'Consommateurs types'!$D6*(ATRD!$W6+'Transport &amp; stockage'!T7+'Coûts d''approvisionnement'!$E$2+SUM('Coûts commerciaux'!$D6:$G6))</f>
        <v>1194.1491249780656</v>
      </c>
      <c r="U15" s="111">
        <f>ATRD!$V6+'Coûts commerciaux'!$C6+'Consommateurs types'!$D6*(ATRD!$W6+'Transport &amp; stockage'!U7+'Coûts d''approvisionnement'!$E$2+SUM('Coûts commerciaux'!$D6:$G6))</f>
        <v>1075.8350794419819</v>
      </c>
      <c r="V15" s="111">
        <f>ATRD!$V6+'Coûts commerciaux'!$C6+'Consommateurs types'!$D6*(ATRD!$W6+'Transport &amp; stockage'!V7+'Coûts d''approvisionnement'!$E$2+SUM('Coûts commerciaux'!$D6:$G6))</f>
        <v>1112.7901195679219</v>
      </c>
      <c r="W15" s="111">
        <f>ATRD!$V6+'Coûts commerciaux'!$C6+'Consommateurs types'!$D6*(ATRD!$W6+'Transport &amp; stockage'!W7+'Coûts d''approvisionnement'!$E$2+SUM('Coûts commerciaux'!$D6:$G6))</f>
        <v>1049.0040559385984</v>
      </c>
      <c r="X15" s="112">
        <f>ATRD!$X6+'Coûts commerciaux'!$C6+'Consommateurs types'!$D6*(ATRD!$Y6+'Transport &amp; stockage'!D7+'Coûts d''approvisionnement'!$E$2+SUM('Coûts commerciaux'!$D6:$G6))</f>
        <v>1247.7007017752817</v>
      </c>
    </row>
    <row r="16" spans="1:46" x14ac:dyDescent="0.35">
      <c r="A16" s="6"/>
      <c r="B16" s="6"/>
      <c r="C16" s="6"/>
      <c r="D16" s="6"/>
      <c r="E16" s="6"/>
      <c r="F16" s="6"/>
      <c r="G16" s="6"/>
      <c r="H16" s="6"/>
      <c r="I16" s="6"/>
      <c r="J16" s="6"/>
      <c r="K16" s="6"/>
      <c r="L16" s="6"/>
      <c r="M16" s="6"/>
      <c r="N16" s="6"/>
      <c r="O16" s="6"/>
      <c r="P16" s="6"/>
      <c r="Q16" s="6"/>
      <c r="R16" s="6"/>
      <c r="S16" s="6"/>
      <c r="T16" s="6"/>
      <c r="U16" s="6"/>
      <c r="V16" s="6"/>
      <c r="W16" s="6"/>
      <c r="X16" s="6"/>
    </row>
    <row r="17" spans="1:24" x14ac:dyDescent="0.35">
      <c r="A17" s="6"/>
      <c r="B17" s="6"/>
      <c r="C17" s="6"/>
      <c r="D17" s="6"/>
      <c r="E17" s="6"/>
      <c r="F17" s="6"/>
      <c r="G17" s="6"/>
      <c r="H17" s="6"/>
      <c r="I17" s="6"/>
      <c r="J17" s="6"/>
      <c r="K17" s="6"/>
      <c r="L17" s="6"/>
      <c r="M17" s="6"/>
      <c r="N17" s="6"/>
      <c r="O17" s="6"/>
      <c r="P17" s="6"/>
      <c r="Q17" s="6"/>
      <c r="R17" s="6"/>
      <c r="S17" s="6"/>
      <c r="T17" s="6"/>
      <c r="U17" s="6"/>
      <c r="V17" s="6"/>
      <c r="W17" s="6"/>
      <c r="X17" s="6"/>
    </row>
    <row r="26" spans="1:24" ht="14" thickBot="1" x14ac:dyDescent="0.4">
      <c r="H26" s="126"/>
      <c r="I26" s="126"/>
      <c r="J26" s="126"/>
      <c r="K26" s="126"/>
    </row>
  </sheetData>
  <mergeCells count="27">
    <mergeCell ref="C12:X12"/>
    <mergeCell ref="Y4:Z4"/>
    <mergeCell ref="AA4:AB4"/>
    <mergeCell ref="Q4:R4"/>
    <mergeCell ref="S4:T4"/>
    <mergeCell ref="U4:V4"/>
    <mergeCell ref="W4:X4"/>
    <mergeCell ref="G4:H4"/>
    <mergeCell ref="I4:J4"/>
    <mergeCell ref="K4:L4"/>
    <mergeCell ref="M4:N4"/>
    <mergeCell ref="O4:P4"/>
    <mergeCell ref="C9:F9"/>
    <mergeCell ref="C4:D4"/>
    <mergeCell ref="E4:F4"/>
    <mergeCell ref="E3:F3"/>
    <mergeCell ref="Q3:R3"/>
    <mergeCell ref="AS3:AT3"/>
    <mergeCell ref="AC4:AD4"/>
    <mergeCell ref="AE4:AF4"/>
    <mergeCell ref="AG4:AH4"/>
    <mergeCell ref="AS4:AT4"/>
    <mergeCell ref="AI4:AJ4"/>
    <mergeCell ref="AK4:AL4"/>
    <mergeCell ref="AM4:AN4"/>
    <mergeCell ref="AO4:AP4"/>
    <mergeCell ref="AQ4:AR4"/>
  </mergeCells>
  <pageMargins left="0.7" right="0.7" top="0.75" bottom="0.75" header="0.3" footer="0.3"/>
  <pageSetup paperSize="9" scale="62"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12A11-07A8-45F1-A95A-75EFBCDB1400}">
  <sheetPr>
    <tabColor theme="8"/>
  </sheetPr>
  <dimension ref="A2:AT24"/>
  <sheetViews>
    <sheetView showGridLines="0" zoomScale="85" zoomScaleNormal="85" workbookViewId="0">
      <selection activeCell="B3" sqref="B3"/>
    </sheetView>
  </sheetViews>
  <sheetFormatPr baseColWidth="10" defaultColWidth="11" defaultRowHeight="13.5" x14ac:dyDescent="0.35"/>
  <cols>
    <col min="1" max="1" width="11" style="27"/>
    <col min="2" max="2" width="18.58203125" style="27" customWidth="1"/>
    <col min="3" max="3" width="22.58203125" style="27" customWidth="1"/>
    <col min="4" max="4" width="20.1640625" style="27" customWidth="1"/>
    <col min="5" max="5" width="29.58203125" style="27" customWidth="1"/>
    <col min="6" max="11" width="20.58203125" style="27" customWidth="1"/>
    <col min="12" max="12" width="24.58203125" style="27" customWidth="1"/>
    <col min="13" max="13" width="26.08203125" style="27" customWidth="1"/>
    <col min="14" max="23" width="20.58203125" style="27" customWidth="1"/>
    <col min="24" max="24" width="41.6640625" style="27" customWidth="1"/>
    <col min="25" max="25" width="11" style="27"/>
    <col min="26" max="26" width="14.5" style="27" customWidth="1"/>
    <col min="27" max="30" width="11" style="27"/>
    <col min="31" max="31" width="25.6640625" style="27" customWidth="1"/>
    <col min="32" max="32" width="20.6640625" style="27" customWidth="1"/>
    <col min="33" max="33" width="23.1640625" style="27" customWidth="1"/>
    <col min="34" max="34" width="28" style="27" customWidth="1"/>
    <col min="35" max="35" width="20.08203125" style="27" customWidth="1"/>
    <col min="36" max="36" width="11" style="27"/>
    <col min="37" max="37" width="21.58203125" style="27" customWidth="1"/>
    <col min="38" max="38" width="11" style="27"/>
    <col min="39" max="39" width="19.6640625" style="27" customWidth="1"/>
    <col min="40" max="40" width="11" style="27"/>
    <col min="41" max="41" width="21" style="27" customWidth="1"/>
    <col min="42" max="42" width="11" style="27"/>
    <col min="43" max="43" width="25" style="27" customWidth="1"/>
    <col min="44" max="44" width="21.6640625" style="27" customWidth="1"/>
    <col min="45" max="45" width="24.58203125" style="27" customWidth="1"/>
    <col min="46" max="46" width="25.5" style="27" customWidth="1"/>
    <col min="47" max="16384" width="11" style="27"/>
  </cols>
  <sheetData>
    <row r="2" spans="1:46" ht="21.75" customHeight="1" x14ac:dyDescent="0.5">
      <c r="B2" s="29" t="s">
        <v>87</v>
      </c>
      <c r="E2" s="28"/>
    </row>
    <row r="3" spans="1:46" ht="23.25" customHeight="1" thickBot="1" x14ac:dyDescent="0.4">
      <c r="B3" s="5"/>
      <c r="C3" s="5"/>
      <c r="D3" s="5"/>
      <c r="E3" s="5"/>
    </row>
    <row r="4" spans="1:46" ht="15.75" customHeight="1" thickBot="1" x14ac:dyDescent="0.4">
      <c r="B4" s="4"/>
      <c r="C4" s="140" t="s">
        <v>49</v>
      </c>
      <c r="D4" s="141"/>
      <c r="E4" s="140" t="s">
        <v>59</v>
      </c>
      <c r="F4" s="141"/>
      <c r="G4" s="140" t="s">
        <v>60</v>
      </c>
      <c r="H4" s="141"/>
      <c r="I4" s="140" t="s">
        <v>34</v>
      </c>
      <c r="J4" s="141"/>
      <c r="K4" s="140" t="s">
        <v>35</v>
      </c>
      <c r="L4" s="141"/>
      <c r="M4" s="140" t="s">
        <v>36</v>
      </c>
      <c r="N4" s="141"/>
      <c r="O4" s="140" t="s">
        <v>37</v>
      </c>
      <c r="P4" s="141"/>
      <c r="Q4" s="140" t="s">
        <v>38</v>
      </c>
      <c r="R4" s="141"/>
      <c r="S4" s="140" t="s">
        <v>39</v>
      </c>
      <c r="T4" s="141"/>
      <c r="U4" s="140" t="s">
        <v>52</v>
      </c>
      <c r="V4" s="141"/>
      <c r="W4" s="140" t="s">
        <v>73</v>
      </c>
      <c r="X4" s="141"/>
      <c r="Y4" s="140" t="s">
        <v>54</v>
      </c>
      <c r="Z4" s="141"/>
      <c r="AA4" s="140" t="s">
        <v>43</v>
      </c>
      <c r="AB4" s="141"/>
      <c r="AC4" s="140" t="s">
        <v>55</v>
      </c>
      <c r="AD4" s="141"/>
      <c r="AE4" s="135" t="s">
        <v>44</v>
      </c>
      <c r="AF4" s="136"/>
      <c r="AG4" s="140" t="s">
        <v>56</v>
      </c>
      <c r="AH4" s="141"/>
      <c r="AI4" s="142" t="s">
        <v>45</v>
      </c>
      <c r="AJ4" s="143"/>
      <c r="AK4" s="142" t="s">
        <v>46</v>
      </c>
      <c r="AL4" s="143"/>
      <c r="AM4" s="144" t="s">
        <v>47</v>
      </c>
      <c r="AN4" s="143"/>
      <c r="AO4" s="140" t="s">
        <v>63</v>
      </c>
      <c r="AP4" s="145"/>
      <c r="AQ4" s="142" t="s">
        <v>48</v>
      </c>
      <c r="AR4" s="143"/>
      <c r="AS4" s="142" t="s">
        <v>76</v>
      </c>
      <c r="AT4" s="143"/>
    </row>
    <row r="5" spans="1:46" ht="14" thickBot="1" x14ac:dyDescent="0.4">
      <c r="B5" s="18" t="s">
        <v>18</v>
      </c>
      <c r="C5" s="26" t="s">
        <v>62</v>
      </c>
      <c r="D5" s="26" t="s">
        <v>42</v>
      </c>
      <c r="E5" s="26" t="s">
        <v>62</v>
      </c>
      <c r="F5" s="26" t="s">
        <v>42</v>
      </c>
      <c r="G5" s="26" t="s">
        <v>62</v>
      </c>
      <c r="H5" s="26" t="s">
        <v>42</v>
      </c>
      <c r="I5" s="26" t="s">
        <v>62</v>
      </c>
      <c r="J5" s="26" t="s">
        <v>42</v>
      </c>
      <c r="K5" s="26" t="s">
        <v>62</v>
      </c>
      <c r="L5" s="26" t="s">
        <v>42</v>
      </c>
      <c r="M5" s="26" t="s">
        <v>62</v>
      </c>
      <c r="N5" s="26" t="s">
        <v>42</v>
      </c>
      <c r="O5" s="26" t="s">
        <v>62</v>
      </c>
      <c r="P5" s="26" t="s">
        <v>42</v>
      </c>
      <c r="Q5" s="26" t="s">
        <v>62</v>
      </c>
      <c r="R5" s="26" t="s">
        <v>42</v>
      </c>
      <c r="S5" s="26" t="s">
        <v>62</v>
      </c>
      <c r="T5" s="26" t="s">
        <v>42</v>
      </c>
      <c r="U5" s="26" t="s">
        <v>62</v>
      </c>
      <c r="V5" s="26" t="s">
        <v>42</v>
      </c>
      <c r="W5" s="26" t="s">
        <v>62</v>
      </c>
      <c r="X5" s="26" t="s">
        <v>42</v>
      </c>
      <c r="Y5" s="26" t="s">
        <v>62</v>
      </c>
      <c r="Z5" s="26" t="s">
        <v>42</v>
      </c>
      <c r="AA5" s="26" t="s">
        <v>62</v>
      </c>
      <c r="AB5" s="26" t="s">
        <v>42</v>
      </c>
      <c r="AC5" s="26" t="s">
        <v>62</v>
      </c>
      <c r="AD5" s="26" t="s">
        <v>42</v>
      </c>
      <c r="AE5" s="26" t="s">
        <v>62</v>
      </c>
      <c r="AF5" s="26" t="s">
        <v>42</v>
      </c>
      <c r="AG5" s="26" t="s">
        <v>62</v>
      </c>
      <c r="AH5" s="26" t="s">
        <v>42</v>
      </c>
      <c r="AI5" s="26" t="s">
        <v>62</v>
      </c>
      <c r="AJ5" s="26" t="s">
        <v>42</v>
      </c>
      <c r="AK5" s="26" t="s">
        <v>62</v>
      </c>
      <c r="AL5" s="26" t="s">
        <v>42</v>
      </c>
      <c r="AM5" s="26" t="s">
        <v>62</v>
      </c>
      <c r="AN5" s="26" t="s">
        <v>42</v>
      </c>
      <c r="AO5" s="26" t="s">
        <v>62</v>
      </c>
      <c r="AP5" s="26" t="s">
        <v>42</v>
      </c>
      <c r="AQ5" s="26" t="s">
        <v>62</v>
      </c>
      <c r="AR5" s="26" t="s">
        <v>42</v>
      </c>
      <c r="AS5" s="26" t="s">
        <v>62</v>
      </c>
      <c r="AT5" s="26" t="s">
        <v>42</v>
      </c>
    </row>
    <row r="6" spans="1:46" ht="14" thickBot="1" x14ac:dyDescent="0.4">
      <c r="B6" s="59" t="s">
        <v>20</v>
      </c>
      <c r="C6" s="50">
        <f>ROUND(('Grille tarifaire HT'!$C$6+'Grille tarifaire TTC'!$C$16)*(1+'Grille tarifaire TTC'!$C$22),2)</f>
        <v>134.51</v>
      </c>
      <c r="D6" s="51">
        <f>('Grille tarifaire HT'!$D$6+'Grille tarifaire TTC'!$C$24)*(1+'Grille tarifaire TTC'!$C$23)</f>
        <v>138.98349284821859</v>
      </c>
      <c r="E6" s="50">
        <f>ROUND(('Grille tarifaire HT'!$E$6+'Grille tarifaire TTC'!$D$16)*(1+'Grille tarifaire TTC'!$C$22),2)</f>
        <v>203.03</v>
      </c>
      <c r="F6" s="51">
        <f>('Grille tarifaire HT'!$F$6+'Grille tarifaire TTC'!$C$24)*(1+'Grille tarifaire TTC'!$C$23)</f>
        <v>76.361920955266839</v>
      </c>
      <c r="G6" s="50">
        <f>ROUND(('Grille tarifaire HT'!$G$6+'Grille tarifaire TTC'!$E$16)*(1+'Grille tarifaire TTC'!$C$22),2)</f>
        <v>139.24</v>
      </c>
      <c r="H6" s="51">
        <f>('Grille tarifaire HT'!$H$6+'Grille tarifaire TTC'!$C$24)*(1+'Grille tarifaire TTC'!$C$23)</f>
        <v>202.19791232854732</v>
      </c>
      <c r="I6" s="50">
        <f>ROUND(('Grille tarifaire HT'!$I$6+'Grille tarifaire TTC'!$F$16)*(1+'Grille tarifaire TTC'!$C$22),2)</f>
        <v>59.21</v>
      </c>
      <c r="J6" s="51">
        <f>('Grille tarifaire HT'!$J$6+'Grille tarifaire TTC'!$C$24)*(1+'Grille tarifaire TTC'!$C$23)</f>
        <v>208.56938143838892</v>
      </c>
      <c r="K6" s="50">
        <f>ROUND(('Grille tarifaire HT'!$K$6+'Grille tarifaire TTC'!$G$16)*(1+'Grille tarifaire TTC'!$C$22),2)</f>
        <v>114.41</v>
      </c>
      <c r="L6" s="51">
        <f>('Grille tarifaire HT'!$L$6+'Grille tarifaire TTC'!$C$24)*(1+'Grille tarifaire TTC'!$C$23)</f>
        <v>181.80265770647895</v>
      </c>
      <c r="M6" s="50">
        <f>ROUND(('Grille tarifaire HT'!$M$6+'Grille tarifaire TTC'!$H$16)*(1+'Grille tarifaire TTC'!$C$22),2)</f>
        <v>116.45</v>
      </c>
      <c r="N6" s="51">
        <f>('Grille tarifaire HT'!$N$6+'Grille tarifaire TTC'!$C$24)*(1+'Grille tarifaire TTC'!$C$23)</f>
        <v>144.36252429553176</v>
      </c>
      <c r="O6" s="50">
        <f>ROUND(('Grille tarifaire HT'!$O$6+'Grille tarifaire TTC'!$I$16)*(1+'Grille tarifaire TTC'!$C$22),2)</f>
        <v>168.09</v>
      </c>
      <c r="P6" s="51">
        <f>('Grille tarifaire HT'!$P$6+'Grille tarifaire TTC'!$C$24)*(1+'Grille tarifaire TTC'!$C$23)</f>
        <v>110.37966715267461</v>
      </c>
      <c r="Q6" s="50">
        <f>ROUND(('Grille tarifaire HT'!$Q$6+'Grille tarifaire TTC'!$J$16)*(1+'Grille tarifaire TTC'!$C$22),2)</f>
        <v>112.35</v>
      </c>
      <c r="R6" s="51">
        <f>('Grille tarifaire HT'!$R$6+'Grille tarifaire TTC'!$C$24)*(1+'Grille tarifaire TTC'!$C$23)</f>
        <v>164.66683338640416</v>
      </c>
      <c r="S6" s="50">
        <f>ROUND(('Grille tarifaire HT'!$S$6+'Grille tarifaire TTC'!$K$16)*(1+'Grille tarifaire TTC'!$C$22),2)</f>
        <v>113.59</v>
      </c>
      <c r="T6" s="51">
        <f>('Grille tarifaire HT'!$T$6+'Grille tarifaire TTC'!$C$24)*(1+'Grille tarifaire TTC'!$C$23)</f>
        <v>175.79552648640944</v>
      </c>
      <c r="U6" s="50">
        <f>ROUND(('Grille tarifaire HT'!$U$6+'Grille tarifaire TTC'!$L$16)*(1+'Grille tarifaire TTC'!$C$22),2)</f>
        <v>89.78</v>
      </c>
      <c r="V6" s="51">
        <f>('Grille tarifaire HT'!$V$6+'Grille tarifaire TTC'!$C$24)*(1+'Grille tarifaire TTC'!$C$23)</f>
        <v>190.88448667356874</v>
      </c>
      <c r="W6" s="50">
        <f>ROUND(('Grille tarifaire HT'!$W$6+'Grille tarifaire TTC'!$M$16)*(1+'Grille tarifaire TTC'!$C$22),2)</f>
        <v>73.989999999999995</v>
      </c>
      <c r="X6" s="51">
        <f>('Grille tarifaire HT'!$X$6+'Grille tarifaire TTC'!$C$24)*(1+'Grille tarifaire TTC'!$C$23)</f>
        <v>205.61158776253566</v>
      </c>
      <c r="Y6" s="50">
        <f>ROUND(('Grille tarifaire HT'!$Y$6+'Grille tarifaire TTC'!$N$16)*(1+'Grille tarifaire TTC'!$C$22),2)</f>
        <v>108.58</v>
      </c>
      <c r="Z6" s="51">
        <f>('Grille tarifaire HT'!$Z$6+'Grille tarifaire TTC'!$C$24)*(1+'Grille tarifaire TTC'!$C$23)</f>
        <v>172.74115077392761</v>
      </c>
      <c r="AA6" s="50">
        <f>ROUND(('Grille tarifaire HT'!$AA$6+'Grille tarifaire TTC'!$O$16)*(1+'Grille tarifaire TTC'!$C$22),2)</f>
        <v>100.68</v>
      </c>
      <c r="AB6" s="51">
        <f>('Grille tarifaire HT'!$AB$6+'Grille tarifaire TTC'!$C$24)*(1+'Grille tarifaire TTC'!$C$23)</f>
        <v>179.97305567895276</v>
      </c>
      <c r="AC6" s="50">
        <f>ROUND(('Grille tarifaire HT'!$AC$6+'Grille tarifaire TTC'!$P$16)*(1+'Grille tarifaire TTC'!$C$22),2)</f>
        <v>72.05</v>
      </c>
      <c r="AD6" s="51">
        <f>('Grille tarifaire HT'!$AD$6+'Grille tarifaire TTC'!$C$24)*(1+'Grille tarifaire TTC'!$C$23)</f>
        <v>210.33038238778178</v>
      </c>
      <c r="AE6" s="50">
        <f>ROUND(('Grille tarifaire HT'!$AE$6+'Grille tarifaire TTC'!$Q$16)*(1+'Grille tarifaire TTC'!$C$22),2)</f>
        <v>105.64</v>
      </c>
      <c r="AF6" s="51">
        <f>('Grille tarifaire HT'!$AF$6+'Grille tarifaire TTC'!$C$24)*(1+'Grille tarifaire TTC'!$C$23)</f>
        <v>174.6685481002576</v>
      </c>
      <c r="AG6" s="50">
        <f>ROUND(('Grille tarifaire HT'!$AG$6+'Grille tarifaire TTC'!$R$16)*(1+'Grille tarifaire TTC'!$C$22),2)</f>
        <v>92.46</v>
      </c>
      <c r="AH6" s="51">
        <f>('Grille tarifaire HT'!$AH$6+'Grille tarifaire TTC'!$C$24)*(1+'Grille tarifaire TTC'!$C$23)</f>
        <v>188.17414261195754</v>
      </c>
      <c r="AI6" s="50">
        <f>ROUND(('Grille tarifaire HT'!$AI$6+'Grille tarifaire TTC'!$S$16)*(1+'Grille tarifaire TTC'!$C$22),2)</f>
        <v>117.25</v>
      </c>
      <c r="AJ6" s="51">
        <f>('Grille tarifaire HT'!$AJ$6+'Grille tarifaire TTC'!$C$24)*(1+'Grille tarifaire TTC'!$C$23)</f>
        <v>168.89734193185677</v>
      </c>
      <c r="AK6" s="50">
        <f>ROUND(('Grille tarifaire HT'!$AK$6+'Grille tarifaire TTC'!$T$16)*(1+'Grille tarifaire TTC'!$C$22),2)</f>
        <v>129.91</v>
      </c>
      <c r="AL6" s="51">
        <f>('Grille tarifaire HT'!$AL$6+'Grille tarifaire TTC'!$C$24)*(1+'Grille tarifaire TTC'!$C$23)</f>
        <v>158.79303746245336</v>
      </c>
      <c r="AM6" s="50">
        <f>ROUND(('Grille tarifaire HT'!$AM$6+'Grille tarifaire TTC'!$U$16)*(1+'Grille tarifaire TTC'!$C$22),2)</f>
        <v>105.85</v>
      </c>
      <c r="AN6" s="51">
        <f>('Grille tarifaire HT'!$AN$6+'Grille tarifaire TTC'!$C$24)*(1+'Grille tarifaire TTC'!$C$23)</f>
        <v>175.22067757698139</v>
      </c>
      <c r="AO6" s="50">
        <f>ROUND(('Grille tarifaire HT'!$AO$6+'Grille tarifaire TTC'!$V$16)*(1+'Grille tarifaire TTC'!$C$22),2)</f>
        <v>118.3</v>
      </c>
      <c r="AP6" s="51">
        <f>('Grille tarifaire HT'!$AP$6+'Grille tarifaire TTC'!$C$24)*(1+'Grille tarifaire TTC'!$C$23)</f>
        <v>165.56636508532077</v>
      </c>
      <c r="AQ6" s="50">
        <f>ROUND(('Grille tarifaire HT'!$AQ$6+'Grille tarifaire TTC'!$W$16)*(1+'Grille tarifaire TTC'!$C$22),2)</f>
        <v>84.81</v>
      </c>
      <c r="AR6" s="51">
        <f>('Grille tarifaire HT'!$AR$6+'Grille tarifaire TTC'!$C$24)*(1+'Grille tarifaire TTC'!$C$23)</f>
        <v>192.91237199219321</v>
      </c>
      <c r="AS6" s="50">
        <f>ROUND(('Grille tarifaire HT'!$AS$6+'Grille tarifaire TTC'!$X$16)*(1+'Grille tarifaire TTC'!$C$22),2)</f>
        <v>234.04</v>
      </c>
      <c r="AT6" s="51">
        <f>('Grille tarifaire HT'!$AT$6+'Grille tarifaire TTC'!$C$24)*(1+'Grille tarifaire TTC'!$C$23)</f>
        <v>104.79435905050488</v>
      </c>
    </row>
    <row r="7" spans="1:46" ht="14" thickBot="1" x14ac:dyDescent="0.4">
      <c r="B7" s="41" t="s">
        <v>17</v>
      </c>
      <c r="C7" s="50">
        <f>ROUND(('Grille tarifaire HT'!$C$7+'Grille tarifaire TTC'!$C$17)*(1+'Grille tarifaire TTC'!$C$22),2)</f>
        <v>352.82</v>
      </c>
      <c r="D7" s="51">
        <f>('Grille tarifaire HT'!$D$7+'Grille tarifaire TTC'!$C$24)*(1+'Grille tarifaire TTC'!$C$23)</f>
        <v>89.392632958654289</v>
      </c>
      <c r="E7" s="50">
        <f>ROUND(('Grille tarifaire HT'!$E$7+'Grille tarifaire TTC'!$D$17)*(1+'Grille tarifaire TTC'!$C$22),2)</f>
        <v>338.64</v>
      </c>
      <c r="F7" s="51">
        <f>('Grille tarifaire HT'!$F$7+'Grille tarifaire TTC'!$C$24)*(1+'Grille tarifaire TTC'!$C$23)</f>
        <v>91.132951493348543</v>
      </c>
      <c r="G7" s="50">
        <f>ROUND(('Grille tarifaire HT'!$G$7+'Grille tarifaire TTC'!$E$17)*(1+'Grille tarifaire TTC'!$C$22),2)</f>
        <v>382.26</v>
      </c>
      <c r="H7" s="51">
        <f>('Grille tarifaire HT'!$H$7+'Grille tarifaire TTC'!$C$24)*(1+'Grille tarifaire TTC'!$C$23)</f>
        <v>111.08486769345667</v>
      </c>
      <c r="I7" s="50">
        <f>ROUND(('Grille tarifaire HT'!$I$7+'Grille tarifaire TTC'!$F$17)*(1+'Grille tarifaire TTC'!$C$22),2)</f>
        <v>232.03</v>
      </c>
      <c r="J7" s="51">
        <f>('Grille tarifaire HT'!$J$7+'Grille tarifaire TTC'!$C$24)*(1+'Grille tarifaire TTC'!$C$23)</f>
        <v>99.170374807559867</v>
      </c>
      <c r="K7" s="50">
        <f>ROUND(('Grille tarifaire HT'!$K$7+'Grille tarifaire TTC'!$G$17)*(1+'Grille tarifaire TTC'!$C$22),2)</f>
        <v>326.99</v>
      </c>
      <c r="L7" s="51">
        <f>('Grille tarifaire HT'!$L$7+'Grille tarifaire TTC'!$C$24)*(1+'Grille tarifaire TTC'!$C$23)</f>
        <v>94.134734950023599</v>
      </c>
      <c r="M7" s="50">
        <f>ROUND(('Grille tarifaire HT'!$M$7+'Grille tarifaire TTC'!$H$17)*(1+'Grille tarifaire TTC'!$C$22),2)</f>
        <v>290.86</v>
      </c>
      <c r="N7" s="51">
        <f>('Grille tarifaire HT'!$N$7+'Grille tarifaire TTC'!$C$24)*(1+'Grille tarifaire TTC'!$C$23)</f>
        <v>90.247644837233466</v>
      </c>
      <c r="O7" s="50">
        <f>ROUND(('Grille tarifaire HT'!$O$7+'Grille tarifaire TTC'!$I$17)*(1+'Grille tarifaire TTC'!$C$22),2)</f>
        <v>277.95</v>
      </c>
      <c r="P7" s="51">
        <f>('Grille tarifaire HT'!$P$7+'Grille tarifaire TTC'!$C$24)*(1+'Grille tarifaire TTC'!$C$23)</f>
        <v>95.359359970764629</v>
      </c>
      <c r="Q7" s="50">
        <f>ROUND(('Grille tarifaire HT'!$Q$7+'Grille tarifaire TTC'!$J$17)*(1+'Grille tarifaire TTC'!$C$22),2)</f>
        <v>251.68</v>
      </c>
      <c r="R7" s="51">
        <f>('Grille tarifaire HT'!$R$7+'Grille tarifaire TTC'!$C$24)*(1+'Grille tarifaire TTC'!$C$23)</f>
        <v>102.78026472409711</v>
      </c>
      <c r="S7" s="50">
        <f>ROUND(('Grille tarifaire HT'!$S$7+'Grille tarifaire TTC'!$K$17)*(1+'Grille tarifaire TTC'!$C$22),2)</f>
        <v>392</v>
      </c>
      <c r="T7" s="51">
        <f>('Grille tarifaire HT'!$T$7+'Grille tarifaire TTC'!$C$24)*(1+'Grille tarifaire TTC'!$C$23)</f>
        <v>91.140629028432599</v>
      </c>
      <c r="U7" s="50">
        <f>ROUND(('Grille tarifaire HT'!$U$7+'Grille tarifaire TTC'!$U$17)*(1+'Grille tarifaire TTC'!$C$22),2)</f>
        <v>307.82</v>
      </c>
      <c r="V7" s="51">
        <f>('Grille tarifaire HT'!$V$7+'Grille tarifaire TTC'!$C$24)*(1+'Grille tarifaire TTC'!$C$23)</f>
        <v>95.467731398706803</v>
      </c>
      <c r="W7" s="50">
        <f>ROUND(('Grille tarifaire HT'!$W$7+'Grille tarifaire TTC'!$W$17)*(1+'Grille tarifaire TTC'!$C$22),2)</f>
        <v>231.86</v>
      </c>
      <c r="X7" s="51">
        <f>('Grille tarifaire HT'!$X$7+'Grille tarifaire TTC'!$C$24)*(1+'Grille tarifaire TTC'!$C$23)</f>
        <v>102.33310652795404</v>
      </c>
      <c r="Y7" s="50">
        <f>ROUND(('Grille tarifaire HT'!$Y$7+'Grille tarifaire TTC'!$N$17)*(1+'Grille tarifaire TTC'!$C$22),2)</f>
        <v>274.27999999999997</v>
      </c>
      <c r="Z7" s="51">
        <f>('Grille tarifaire HT'!$Z$7+'Grille tarifaire TTC'!$C$24)*(1+'Grille tarifaire TTC'!$C$23)</f>
        <v>95.261070980521097</v>
      </c>
      <c r="AA7" s="50">
        <f>ROUND(('Grille tarifaire HT'!$AA$7+'Grille tarifaire TTC'!$O$17)*(1+'Grille tarifaire TTC'!$C$22),2)</f>
        <v>298.10000000000002</v>
      </c>
      <c r="AB7" s="51">
        <f>('Grille tarifaire HT'!$AB$7+'Grille tarifaire TTC'!$C$24)*(1+'Grille tarifaire TTC'!$C$23)</f>
        <v>94.468676298607917</v>
      </c>
      <c r="AC7" s="50">
        <f>ROUND(('Grille tarifaire HT'!$AC$7+'Grille tarifaire TTC'!$P$17)*(1+'Grille tarifaire TTC'!$C$22),2)</f>
        <v>251.36</v>
      </c>
      <c r="AD7" s="51">
        <f>('Grille tarifaire HT'!$AD$7+'Grille tarifaire TTC'!$C$24)*(1+'Grille tarifaire TTC'!$C$23)</f>
        <v>107.39420966089938</v>
      </c>
      <c r="AE7" s="50">
        <f>ROUND(('Grille tarifaire HT'!$AE$7+'Grille tarifaire TTC'!$Q$17)*(1+'Grille tarifaire TTC'!$C$22),2)</f>
        <v>309.93</v>
      </c>
      <c r="AF7" s="51">
        <f>('Grille tarifaire HT'!$AF$7+'Grille tarifaire TTC'!$C$24)*(1+'Grille tarifaire TTC'!$C$23)</f>
        <v>91.553008824439914</v>
      </c>
      <c r="AG7" s="50">
        <f>ROUND(('Grille tarifaire HT'!$AG$7+'Grille tarifaire TTC'!$R$17)*(1+'Grille tarifaire TTC'!$C$22),2)</f>
        <v>308.35000000000002</v>
      </c>
      <c r="AH7" s="51">
        <f>('Grille tarifaire HT'!$AH$7+'Grille tarifaire TTC'!$C$24)*(1+'Grille tarifaire TTC'!$C$23)</f>
        <v>95.235311517752308</v>
      </c>
      <c r="AI7" s="50">
        <f>ROUND(('Grille tarifaire HT'!$AI$7+'Grille tarifaire TTC'!$S$17)*(1+'Grille tarifaire TTC'!$C$22),2)</f>
        <v>393.27</v>
      </c>
      <c r="AJ7" s="51">
        <f>('Grille tarifaire HT'!$AJ$7+'Grille tarifaire TTC'!$C$24)*(1+'Grille tarifaire TTC'!$C$23)</f>
        <v>94.635497806842267</v>
      </c>
      <c r="AK7" s="50">
        <f>ROUND(('Grille tarifaire HT'!$AK$7+'Grille tarifaire TTC'!$T$17)*(1+'Grille tarifaire TTC'!$C$22),2)</f>
        <v>447.08</v>
      </c>
      <c r="AL7" s="51">
        <f>('Grille tarifaire HT'!$AL$7+'Grille tarifaire TTC'!$C$24)*(1+'Grille tarifaire TTC'!$C$23)</f>
        <v>92.009797475792183</v>
      </c>
      <c r="AM7" s="50">
        <f>ROUND(('Grille tarifaire HT'!$AM$7+'Grille tarifaire TTC'!$U$17)*(1+'Grille tarifaire TTC'!$C$22),2)</f>
        <v>344.53</v>
      </c>
      <c r="AN7" s="51">
        <f>('Grille tarifaire HT'!$AN$7+'Grille tarifaire TTC'!$C$24)*(1+'Grille tarifaire TTC'!$C$23)</f>
        <v>90.130208852401935</v>
      </c>
      <c r="AO7" s="50">
        <f>ROUND(('Grille tarifaire HT'!$AO$7+'Grille tarifaire TTC'!$V$17)*(1+'Grille tarifaire TTC'!$C$22),2)</f>
        <v>276.17</v>
      </c>
      <c r="AP7" s="51">
        <f>('Grille tarifaire HT'!$AP$7+'Grille tarifaire TTC'!$C$24)*(1+'Grille tarifaire TTC'!$C$23)</f>
        <v>99.188521029785335</v>
      </c>
      <c r="AQ7" s="50">
        <f>ROUND(('Grille tarifaire HT'!$AQ$7+'Grille tarifaire TTC'!$W$17)*(1+'Grille tarifaire TTC'!$C$22),2)</f>
        <v>267.55</v>
      </c>
      <c r="AR7" s="51">
        <f>('Grille tarifaire HT'!$AR$7+'Grille tarifaire TTC'!$C$24)*(1+'Grille tarifaire TTC'!$C$23)</f>
        <v>94.237536136967222</v>
      </c>
      <c r="AS7" s="50">
        <f>ROUND(('Grille tarifaire HT'!$AS$7+'Grille tarifaire TTC'!$X$17)*(1+'Grille tarifaire TTC'!$C$22),2)</f>
        <v>438.63</v>
      </c>
      <c r="AT7" s="51">
        <f>('Grille tarifaire HT'!$AT$7+'Grille tarifaire TTC'!$C$24)*(1+'Grille tarifaire TTC'!$C$23)</f>
        <v>98.922756834594793</v>
      </c>
    </row>
    <row r="8" spans="1:46" x14ac:dyDescent="0.35">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row>
    <row r="9" spans="1:46" x14ac:dyDescent="0.35">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row>
    <row r="10" spans="1:46" ht="20.75" customHeight="1" thickBot="1" x14ac:dyDescent="0.4">
      <c r="C10" s="149"/>
      <c r="D10" s="149"/>
      <c r="E10" s="149"/>
      <c r="F10" s="149"/>
    </row>
    <row r="11" spans="1:46" x14ac:dyDescent="0.35">
      <c r="B11" s="151" t="s">
        <v>67</v>
      </c>
      <c r="C11" s="62" t="s">
        <v>64</v>
      </c>
      <c r="D11" s="62" t="s">
        <v>65</v>
      </c>
      <c r="E11" s="63" t="s">
        <v>66</v>
      </c>
    </row>
    <row r="12" spans="1:46" ht="14" thickBot="1" x14ac:dyDescent="0.4">
      <c r="A12" s="6"/>
      <c r="B12" s="152"/>
      <c r="C12" s="64">
        <v>0.83509999999999995</v>
      </c>
      <c r="D12" s="65">
        <v>0.20799999999999999</v>
      </c>
      <c r="E12" s="66">
        <v>4.7100000000000003E-2</v>
      </c>
      <c r="F12" s="6"/>
      <c r="G12" s="6"/>
      <c r="H12" s="6"/>
      <c r="I12" s="6"/>
      <c r="J12" s="6"/>
      <c r="K12" s="6"/>
      <c r="L12" s="6"/>
      <c r="M12" s="6"/>
      <c r="N12" s="6"/>
      <c r="O12" s="6"/>
      <c r="P12" s="6"/>
      <c r="Q12" s="6"/>
      <c r="R12" s="6"/>
      <c r="S12" s="6"/>
      <c r="T12" s="6"/>
      <c r="U12" s="6"/>
      <c r="V12" s="6"/>
      <c r="W12" s="6"/>
      <c r="X12" s="6"/>
    </row>
    <row r="13" spans="1:46" x14ac:dyDescent="0.35">
      <c r="E13" s="150"/>
      <c r="F13" s="150"/>
      <c r="G13" s="61"/>
      <c r="H13"/>
      <c r="I13"/>
      <c r="J13" s="6"/>
      <c r="K13" s="6"/>
      <c r="L13" s="6"/>
      <c r="M13" s="6"/>
      <c r="N13" s="6"/>
      <c r="O13" s="6"/>
      <c r="P13" s="6"/>
      <c r="Q13" s="6"/>
      <c r="R13" s="6"/>
      <c r="S13" s="6"/>
      <c r="T13" s="6"/>
      <c r="U13" s="6"/>
      <c r="V13" s="6"/>
      <c r="W13" s="6"/>
      <c r="X13" s="6"/>
    </row>
    <row r="14" spans="1:46" ht="14" thickBot="1" x14ac:dyDescent="0.4">
      <c r="K14" s="6"/>
      <c r="L14" s="6"/>
      <c r="M14" s="6"/>
      <c r="N14" s="6"/>
      <c r="O14" s="6"/>
      <c r="P14" s="6"/>
      <c r="Q14" s="6"/>
      <c r="R14" s="6"/>
      <c r="S14" s="6"/>
      <c r="T14" s="6"/>
      <c r="U14" s="6"/>
      <c r="V14" s="6"/>
      <c r="W14" s="6"/>
      <c r="X14" s="6"/>
    </row>
    <row r="15" spans="1:46" ht="14" thickBot="1" x14ac:dyDescent="0.4">
      <c r="A15" s="6"/>
      <c r="B15" s="6" t="s">
        <v>7</v>
      </c>
      <c r="C15" s="46" t="s">
        <v>49</v>
      </c>
      <c r="D15" s="46" t="str">
        <f>E4</f>
        <v>Energies de Strasbourg (anciennes concessions)</v>
      </c>
      <c r="E15" s="46" t="s">
        <v>51</v>
      </c>
      <c r="F15" s="46" t="s">
        <v>34</v>
      </c>
      <c r="G15" s="46" t="s">
        <v>35</v>
      </c>
      <c r="H15" s="46" t="s">
        <v>36</v>
      </c>
      <c r="I15" s="46" t="s">
        <v>37</v>
      </c>
      <c r="J15" s="46" t="s">
        <v>38</v>
      </c>
      <c r="K15" s="46" t="s">
        <v>39</v>
      </c>
      <c r="L15" s="46" t="s">
        <v>52</v>
      </c>
      <c r="M15" s="46" t="s">
        <v>73</v>
      </c>
      <c r="N15" s="46" t="s">
        <v>54</v>
      </c>
      <c r="O15" s="46" t="s">
        <v>43</v>
      </c>
      <c r="P15" s="46" t="s">
        <v>55</v>
      </c>
      <c r="Q15" s="46" t="s">
        <v>44</v>
      </c>
      <c r="R15" s="46" t="s">
        <v>56</v>
      </c>
      <c r="S15" s="46" t="s">
        <v>45</v>
      </c>
      <c r="T15" s="46" t="s">
        <v>46</v>
      </c>
      <c r="U15" s="46" t="s">
        <v>47</v>
      </c>
      <c r="V15" s="46" t="s">
        <v>57</v>
      </c>
      <c r="W15" s="46" t="s">
        <v>48</v>
      </c>
      <c r="X15" s="60" t="s">
        <v>61</v>
      </c>
    </row>
    <row r="16" spans="1:46" ht="14" thickBot="1" x14ac:dyDescent="0.4">
      <c r="A16" s="6"/>
      <c r="B16" s="58" t="s">
        <v>5</v>
      </c>
      <c r="C16" s="71">
        <f>+ATRD!D5*('Grille tarifaire TTC'!$C$12*'Grille tarifaire TTC'!$E$12+'Grille tarifaire TTC'!$D$12)</f>
        <v>11.219034405599999</v>
      </c>
      <c r="D16" s="67">
        <f>+ATRD!F5*('Grille tarifaire TTC'!$C$12*'Grille tarifaire TTC'!$E$12+'Grille tarifaire TTC'!$D$12)</f>
        <v>11.12999445</v>
      </c>
      <c r="E16" s="67">
        <f>+ATRD!H5*('Grille tarifaire TTC'!$C$12*'Grille tarifaire TTC'!$E$12+'Grille tarifaire TTC'!$D$12)</f>
        <v>18.104790972</v>
      </c>
      <c r="F16" s="67">
        <f>+ATRD!J5*('Grille tarifaire TTC'!$C$12*'Grille tarifaire TTC'!$E$12+'Grille tarifaire TTC'!$D$12)</f>
        <v>11.486154272399999</v>
      </c>
      <c r="G16" s="67">
        <f>+ATRD!L5*('Grille tarifaire TTC'!$C$12*'Grille tarifaire TTC'!$E$12+'Grille tarifaire TTC'!$D$12)</f>
        <v>14.1276729552</v>
      </c>
      <c r="H16" s="67">
        <f>+ATRD!N5*('Grille tarifaire TTC'!$C$12*'Grille tarifaire TTC'!$E$12+'Grille tarifaire TTC'!$D$12)</f>
        <v>10.1802349236</v>
      </c>
      <c r="I16" s="67">
        <f>+ATRD!P5*('Grille tarifaire TTC'!$C$12*'Grille tarifaire TTC'!$E$12+'Grille tarifaire TTC'!$D$12)</f>
        <v>11.486154272399999</v>
      </c>
      <c r="J16" s="67">
        <f>+ATRD!R5*('Grille tarifaire TTC'!$C$12*'Grille tarifaire TTC'!$E$12+'Grille tarifaire TTC'!$D$12)</f>
        <v>11.693914168799999</v>
      </c>
      <c r="K16" s="67">
        <f>+ATRD!T5*('Grille tarifaire TTC'!$C$12*'Grille tarifaire TTC'!$E$12+'Grille tarifaire TTC'!$D$12)</f>
        <v>13.148233443600001</v>
      </c>
      <c r="L16" s="67">
        <f>+ATRD!$V5*('Grille tarifaire TTC'!$C$12*'Grille tarifaire TTC'!$E$12+'Grille tarifaire TTC'!$D$12)</f>
        <v>12.495273769199999</v>
      </c>
      <c r="M16" s="67">
        <f>+ATRD!$V5*('Grille tarifaire TTC'!$C$12*'Grille tarifaire TTC'!$E$12+'Grille tarifaire TTC'!$D$12)</f>
        <v>12.495273769199999</v>
      </c>
      <c r="N16" s="67">
        <f>+ATRD!$V5*('Grille tarifaire TTC'!$C$12*'Grille tarifaire TTC'!$E$12+'Grille tarifaire TTC'!$D$12)</f>
        <v>12.495273769199999</v>
      </c>
      <c r="O16" s="67">
        <f>+ATRD!$V5*('Grille tarifaire TTC'!$C$12*'Grille tarifaire TTC'!$E$12+'Grille tarifaire TTC'!$D$12)</f>
        <v>12.495273769199999</v>
      </c>
      <c r="P16" s="67">
        <f>+ATRD!$V5*('Grille tarifaire TTC'!$C$12*'Grille tarifaire TTC'!$E$12+'Grille tarifaire TTC'!$D$12)</f>
        <v>12.495273769199999</v>
      </c>
      <c r="Q16" s="67">
        <f>+ATRD!$V5*('Grille tarifaire TTC'!$C$12*'Grille tarifaire TTC'!$E$12+'Grille tarifaire TTC'!$D$12)</f>
        <v>12.495273769199999</v>
      </c>
      <c r="R16" s="67">
        <f>+ATRD!$V5*('Grille tarifaire TTC'!$C$12*'Grille tarifaire TTC'!$E$12+'Grille tarifaire TTC'!$D$12)</f>
        <v>12.495273769199999</v>
      </c>
      <c r="S16" s="67">
        <f>+ATRD!$V5*('Grille tarifaire TTC'!$C$12*'Grille tarifaire TTC'!$E$12+'Grille tarifaire TTC'!$D$12)</f>
        <v>12.495273769199999</v>
      </c>
      <c r="T16" s="67">
        <f>+ATRD!$V5*('Grille tarifaire TTC'!$C$12*'Grille tarifaire TTC'!$E$12+'Grille tarifaire TTC'!$D$12)</f>
        <v>12.495273769199999</v>
      </c>
      <c r="U16" s="67">
        <f>+ATRD!$V5*('Grille tarifaire TTC'!$C$12*'Grille tarifaire TTC'!$E$12+'Grille tarifaire TTC'!$D$12)</f>
        <v>12.495273769199999</v>
      </c>
      <c r="V16" s="67">
        <f>+ATRD!$V5*('Grille tarifaire TTC'!$C$12*'Grille tarifaire TTC'!$E$12+'Grille tarifaire TTC'!$D$12)</f>
        <v>12.495273769199999</v>
      </c>
      <c r="W16" s="67">
        <f>+ATRD!$V5*('Grille tarifaire TTC'!$C$12*'Grille tarifaire TTC'!$E$12+'Grille tarifaire TTC'!$D$12)</f>
        <v>12.495273769199999</v>
      </c>
      <c r="X16" s="68">
        <f>+ATRD!X5*('Grille tarifaire TTC'!$C$12*'Grille tarifaire TTC'!$E$12+'Grille tarifaire TTC'!$D$12)</f>
        <v>17.760503143680001</v>
      </c>
    </row>
    <row r="17" spans="2:24" ht="14" thickBot="1" x14ac:dyDescent="0.4">
      <c r="B17" s="73" t="s">
        <v>6</v>
      </c>
      <c r="C17" s="72">
        <f>+ATRD!D6*('Grille tarifaire TTC'!$C$12*'Grille tarifaire TTC'!$E$12+'Grille tarifaire TTC'!$D$12)</f>
        <v>37.545181277999994</v>
      </c>
      <c r="D17" s="69">
        <f>+ATRD!F6*('Grille tarifaire TTC'!$C$12*'Grille tarifaire TTC'!$E$12+'Grille tarifaire TTC'!$D$12)</f>
        <v>37.189021455600006</v>
      </c>
      <c r="E17" s="69">
        <f>+ATRD!H6*('Grille tarifaire TTC'!$C$12*'Grille tarifaire TTC'!$E$12+'Grille tarifaire TTC'!$D$12)</f>
        <v>64.375887898800002</v>
      </c>
      <c r="F17" s="69">
        <f>+ATRD!J6*('Grille tarifaire TTC'!$C$12*'Grille tarifaire TTC'!$E$12+'Grille tarifaire TTC'!$D$12)</f>
        <v>38.494940804399995</v>
      </c>
      <c r="G17" s="69">
        <f>+ATRD!L6*('Grille tarifaire TTC'!$C$12*'Grille tarifaire TTC'!$E$12+'Grille tarifaire TTC'!$D$12)</f>
        <v>48.823575654000003</v>
      </c>
      <c r="H17" s="69">
        <f>+ATRD!N6*('Grille tarifaire TTC'!$C$12*'Grille tarifaire TTC'!$E$12+'Grille tarifaire TTC'!$D$12)</f>
        <v>33.419663335199992</v>
      </c>
      <c r="I17" s="69">
        <f>+ATRD!P6*('Grille tarifaire TTC'!$C$12*'Grille tarifaire TTC'!$E$12+'Grille tarifaire TTC'!$D$12)</f>
        <v>38.583980760000003</v>
      </c>
      <c r="J17" s="69">
        <f>+ATRD!R6*('Grille tarifaire TTC'!$C$12*'Grille tarifaire TTC'!$E$12+'Grille tarifaire TTC'!$D$12)</f>
        <v>39.355660375199996</v>
      </c>
      <c r="K17" s="69">
        <f>+ATRD!T6*('Grille tarifaire TTC'!$C$12*'Grille tarifaire TTC'!$E$12+'Grille tarifaire TTC'!$D$12)</f>
        <v>45.024537548399998</v>
      </c>
      <c r="L17" s="67">
        <f>+ATRD!$V6*('Grille tarifaire TTC'!$C$12*'Grille tarifaire TTC'!$E$12+'Grille tarifaire TTC'!$D$12)</f>
        <v>42.531418791599997</v>
      </c>
      <c r="M17" s="67">
        <f>+ATRD!$V6*('Grille tarifaire TTC'!$C$12*'Grille tarifaire TTC'!$E$12+'Grille tarifaire TTC'!$D$12)</f>
        <v>42.531418791599997</v>
      </c>
      <c r="N17" s="69">
        <f>+ATRD!$V6*('Grille tarifaire TTC'!$C$12*'Grille tarifaire TTC'!$E$12+'Grille tarifaire TTC'!$D$12)</f>
        <v>42.531418791599997</v>
      </c>
      <c r="O17" s="69">
        <f>+ATRD!$V6*('Grille tarifaire TTC'!$C$12*'Grille tarifaire TTC'!$E$12+'Grille tarifaire TTC'!$D$12)</f>
        <v>42.531418791599997</v>
      </c>
      <c r="P17" s="69">
        <f>+ATRD!$V6*('Grille tarifaire TTC'!$C$12*'Grille tarifaire TTC'!$E$12+'Grille tarifaire TTC'!$D$12)</f>
        <v>42.531418791599997</v>
      </c>
      <c r="Q17" s="69">
        <f>+ATRD!$V6*('Grille tarifaire TTC'!$C$12*'Grille tarifaire TTC'!$E$12+'Grille tarifaire TTC'!$D$12)</f>
        <v>42.531418791599997</v>
      </c>
      <c r="R17" s="69">
        <f>+ATRD!$V6*('Grille tarifaire TTC'!$C$12*'Grille tarifaire TTC'!$E$12+'Grille tarifaire TTC'!$D$12)</f>
        <v>42.531418791599997</v>
      </c>
      <c r="S17" s="69">
        <f>+ATRD!$V6*('Grille tarifaire TTC'!$C$12*'Grille tarifaire TTC'!$E$12+'Grille tarifaire TTC'!$D$12)</f>
        <v>42.531418791599997</v>
      </c>
      <c r="T17" s="69">
        <f>+ATRD!$V6*('Grille tarifaire TTC'!$C$12*'Grille tarifaire TTC'!$E$12+'Grille tarifaire TTC'!$D$12)</f>
        <v>42.531418791599997</v>
      </c>
      <c r="U17" s="69">
        <f>+ATRD!$V6*('Grille tarifaire TTC'!$C$12*'Grille tarifaire TTC'!$E$12+'Grille tarifaire TTC'!$D$12)</f>
        <v>42.531418791599997</v>
      </c>
      <c r="V17" s="69">
        <f>+ATRD!$V6*('Grille tarifaire TTC'!$C$12*'Grille tarifaire TTC'!$E$12+'Grille tarifaire TTC'!$D$12)</f>
        <v>42.531418791599997</v>
      </c>
      <c r="W17" s="69">
        <f>+ATRD!$V6*('Grille tarifaire TTC'!$C$12*'Grille tarifaire TTC'!$E$12+'Grille tarifaire TTC'!$D$12)</f>
        <v>42.531418791599997</v>
      </c>
      <c r="X17" s="70">
        <f>+ATRD!X6*('Grille tarifaire TTC'!$C$12*'Grille tarifaire TTC'!$E$12+'Grille tarifaire TTC'!$D$12)</f>
        <v>58.629842764080003</v>
      </c>
    </row>
    <row r="19" spans="2:24" ht="14" thickBot="1" x14ac:dyDescent="0.4"/>
    <row r="20" spans="2:24" ht="14" thickBot="1" x14ac:dyDescent="0.4">
      <c r="B20" s="140" t="s">
        <v>68</v>
      </c>
      <c r="C20" s="145"/>
    </row>
    <row r="21" spans="2:24" ht="14" thickBot="1" x14ac:dyDescent="0.4">
      <c r="B21" s="15" t="s">
        <v>14</v>
      </c>
      <c r="C21" s="15"/>
    </row>
    <row r="22" spans="2:24" x14ac:dyDescent="0.35">
      <c r="B22" s="45" t="s">
        <v>8</v>
      </c>
      <c r="C22" s="74">
        <v>5.5E-2</v>
      </c>
    </row>
    <row r="23" spans="2:24" x14ac:dyDescent="0.35">
      <c r="B23" s="45" t="s">
        <v>9</v>
      </c>
      <c r="C23" s="75">
        <v>0.2</v>
      </c>
    </row>
    <row r="24" spans="2:24" ht="14" thickBot="1" x14ac:dyDescent="0.4">
      <c r="B24" s="12" t="s">
        <v>12</v>
      </c>
      <c r="C24" s="76">
        <f>8.37+8</f>
        <v>16.369999999999997</v>
      </c>
    </row>
  </sheetData>
  <mergeCells count="26">
    <mergeCell ref="E13:F13"/>
    <mergeCell ref="B11:B12"/>
    <mergeCell ref="B20:C20"/>
    <mergeCell ref="AM4:AN4"/>
    <mergeCell ref="AO4:AP4"/>
    <mergeCell ref="E4:F4"/>
    <mergeCell ref="G4:H4"/>
    <mergeCell ref="I4:J4"/>
    <mergeCell ref="K4:L4"/>
    <mergeCell ref="M4:N4"/>
    <mergeCell ref="AQ4:AR4"/>
    <mergeCell ref="AS4:AT4"/>
    <mergeCell ref="C10:F10"/>
    <mergeCell ref="AA4:AB4"/>
    <mergeCell ref="AC4:AD4"/>
    <mergeCell ref="AE4:AF4"/>
    <mergeCell ref="AG4:AH4"/>
    <mergeCell ref="AI4:AJ4"/>
    <mergeCell ref="AK4:AL4"/>
    <mergeCell ref="O4:P4"/>
    <mergeCell ref="Q4:R4"/>
    <mergeCell ref="S4:T4"/>
    <mergeCell ref="U4:V4"/>
    <mergeCell ref="W4:X4"/>
    <mergeCell ref="Y4:Z4"/>
    <mergeCell ref="C4:D4"/>
  </mergeCells>
  <pageMargins left="0.7" right="0.7" top="0.75" bottom="0.75" header="0.3" footer="0.3"/>
  <pageSetup paperSize="9" scale="62" orientation="portrait" r:id="rId1"/>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06CCF-3CB0-4861-8826-28AC79CF1AA3}">
  <sheetPr>
    <tabColor theme="8"/>
  </sheetPr>
  <dimension ref="B1:P110"/>
  <sheetViews>
    <sheetView tabSelected="1" topLeftCell="A72" zoomScale="115" zoomScaleNormal="115" workbookViewId="0">
      <selection activeCell="P94" sqref="P94"/>
    </sheetView>
  </sheetViews>
  <sheetFormatPr baseColWidth="10" defaultRowHeight="13.5" x14ac:dyDescent="0.35"/>
  <cols>
    <col min="2" max="2" width="11.6640625" style="98" customWidth="1"/>
    <col min="3" max="3" width="20" customWidth="1"/>
    <col min="4" max="5" width="20.08203125" hidden="1" customWidth="1"/>
    <col min="6" max="6" width="19.6640625" hidden="1" customWidth="1"/>
    <col min="7" max="10" width="10.58203125" hidden="1" customWidth="1"/>
    <col min="11" max="11" width="8.203125E-2" hidden="1" customWidth="1"/>
    <col min="12" max="12" width="5.6640625" style="90" customWidth="1"/>
  </cols>
  <sheetData>
    <row r="1" spans="2:16" ht="14" thickBot="1" x14ac:dyDescent="0.4"/>
    <row r="2" spans="2:16" ht="20.149999999999999" customHeight="1" thickBot="1" x14ac:dyDescent="0.4">
      <c r="B2" s="99"/>
      <c r="C2" s="39" t="s">
        <v>18</v>
      </c>
      <c r="D2" s="154" t="s">
        <v>20</v>
      </c>
      <c r="E2" s="155"/>
      <c r="F2" s="154" t="s">
        <v>17</v>
      </c>
      <c r="G2" s="155"/>
      <c r="L2" s="91"/>
      <c r="M2" s="153" t="s">
        <v>20</v>
      </c>
      <c r="N2" s="153"/>
      <c r="O2" s="153" t="s">
        <v>17</v>
      </c>
      <c r="P2" s="153"/>
    </row>
    <row r="3" spans="2:16" ht="20.149999999999999" customHeight="1" thickBot="1" x14ac:dyDescent="0.4">
      <c r="B3" s="99"/>
      <c r="D3" s="80" t="s">
        <v>74</v>
      </c>
      <c r="E3" s="15" t="s">
        <v>75</v>
      </c>
      <c r="F3" s="81" t="s">
        <v>74</v>
      </c>
      <c r="G3" s="15" t="s">
        <v>75</v>
      </c>
      <c r="L3" s="96"/>
      <c r="M3" s="79" t="s">
        <v>74</v>
      </c>
      <c r="N3" s="79" t="s">
        <v>75</v>
      </c>
      <c r="O3" s="79" t="s">
        <v>74</v>
      </c>
      <c r="P3" s="79" t="s">
        <v>75</v>
      </c>
    </row>
    <row r="4" spans="2:16" ht="20.149999999999999" customHeight="1" thickBot="1" x14ac:dyDescent="0.4">
      <c r="B4" s="156" t="s">
        <v>49</v>
      </c>
      <c r="C4" s="26" t="s">
        <v>62</v>
      </c>
      <c r="D4" s="84">
        <f>'Grille tarifaire HT'!C6</f>
        <v>116.27999999999999</v>
      </c>
      <c r="E4" s="85">
        <f>ROUND(('Grille tarifaire HT'!$C$6+'Grille tarifaire TTC'!$C$16)*(1+'Grille tarifaire TTC'!$C$22),2)</f>
        <v>134.51</v>
      </c>
      <c r="F4" s="86">
        <f>+'Grille tarifaire HT'!C7</f>
        <v>296.88</v>
      </c>
      <c r="G4" s="85">
        <f>ROUND(('Grille tarifaire HT'!$C$7+'Grille tarifaire TTC'!$C$17)*(1+'Grille tarifaire TTC'!$C$22),2)</f>
        <v>352.82</v>
      </c>
      <c r="L4" s="92" t="s">
        <v>62</v>
      </c>
      <c r="M4" s="94">
        <f>D4</f>
        <v>116.27999999999999</v>
      </c>
      <c r="N4" s="94">
        <f t="shared" ref="N4:P4" si="0">E4</f>
        <v>134.51</v>
      </c>
      <c r="O4" s="94">
        <f t="shared" si="0"/>
        <v>296.88</v>
      </c>
      <c r="P4" s="94">
        <f t="shared" si="0"/>
        <v>352.82</v>
      </c>
    </row>
    <row r="5" spans="2:16" ht="20.149999999999999" customHeight="1" thickBot="1" x14ac:dyDescent="0.4">
      <c r="B5" s="156"/>
      <c r="C5" s="47" t="s">
        <v>42</v>
      </c>
      <c r="D5" s="51">
        <f>'Grille tarifaire HT'!D6</f>
        <v>99.44957737351551</v>
      </c>
      <c r="E5" s="51">
        <f>('Grille tarifaire HT'!$D$6+'Grille tarifaire TTC'!$C$24)*(1+'Grille tarifaire TTC'!$C$23)</f>
        <v>138.98349284821859</v>
      </c>
      <c r="F5" s="55">
        <f>+'Grille tarifaire HT'!D7</f>
        <v>58.123860798878574</v>
      </c>
      <c r="G5" s="51">
        <f>('Grille tarifaire HT'!$D$7+'Grille tarifaire TTC'!$C$24)*(1+'Grille tarifaire TTC'!$C$23)</f>
        <v>89.392632958654289</v>
      </c>
      <c r="L5" s="93" t="s">
        <v>77</v>
      </c>
      <c r="M5" s="95">
        <f>ROUND(D5/1000,5)</f>
        <v>9.9449999999999997E-2</v>
      </c>
      <c r="N5" s="95">
        <f t="shared" ref="N5:P5" si="1">ROUND(E5/1000,5)</f>
        <v>0.13897999999999999</v>
      </c>
      <c r="O5" s="95">
        <f t="shared" si="1"/>
        <v>5.8119999999999998E-2</v>
      </c>
      <c r="P5" s="95">
        <f t="shared" si="1"/>
        <v>8.9389999999999997E-2</v>
      </c>
    </row>
    <row r="6" spans="2:16" ht="20.149999999999999" customHeight="1" thickBot="1" x14ac:dyDescent="0.4">
      <c r="D6" s="87"/>
      <c r="E6" s="87"/>
      <c r="F6" s="87"/>
      <c r="G6" s="87"/>
      <c r="M6" s="124"/>
    </row>
    <row r="7" spans="2:16" ht="20.149999999999999" customHeight="1" thickBot="1" x14ac:dyDescent="0.4">
      <c r="D7" s="87"/>
      <c r="E7" s="87"/>
      <c r="F7" s="87"/>
      <c r="G7" s="87"/>
      <c r="L7" s="91"/>
      <c r="M7" s="153" t="s">
        <v>20</v>
      </c>
      <c r="N7" s="153"/>
      <c r="O7" s="153" t="s">
        <v>17</v>
      </c>
      <c r="P7" s="153"/>
    </row>
    <row r="8" spans="2:16" ht="20.149999999999999" customHeight="1" thickBot="1" x14ac:dyDescent="0.4">
      <c r="D8" s="87"/>
      <c r="E8" s="87"/>
      <c r="F8" s="87"/>
      <c r="G8" s="87"/>
      <c r="L8" s="96"/>
      <c r="M8" s="79" t="s">
        <v>74</v>
      </c>
      <c r="N8" s="79" t="s">
        <v>75</v>
      </c>
      <c r="O8" s="79" t="s">
        <v>74</v>
      </c>
      <c r="P8" s="79" t="s">
        <v>75</v>
      </c>
    </row>
    <row r="9" spans="2:16" ht="20.149999999999999" customHeight="1" thickBot="1" x14ac:dyDescent="0.4">
      <c r="B9" s="156" t="s">
        <v>80</v>
      </c>
      <c r="C9" s="26" t="s">
        <v>62</v>
      </c>
      <c r="D9" s="88">
        <f>'Grille tarifaire HT'!E6</f>
        <v>181.32</v>
      </c>
      <c r="E9" s="85">
        <f>ROUND(('Grille tarifaire HT'!$E$6+'Grille tarifaire TTC'!$D$16)*(1+'Grille tarifaire TTC'!$C$22),2)</f>
        <v>203.03</v>
      </c>
      <c r="F9" s="82">
        <f>+'Grille tarifaire HT'!E7</f>
        <v>283.8</v>
      </c>
      <c r="G9" s="89">
        <f>ROUND(('Grille tarifaire HT'!$E$7+'Grille tarifaire TTC'!$D$17)*(1+'Grille tarifaire TTC'!$C$22),2)</f>
        <v>338.64</v>
      </c>
      <c r="L9" s="92" t="s">
        <v>62</v>
      </c>
      <c r="M9" s="94">
        <f>D9</f>
        <v>181.32</v>
      </c>
      <c r="N9" s="94">
        <f t="shared" ref="N9" si="2">E9</f>
        <v>203.03</v>
      </c>
      <c r="O9" s="94">
        <f t="shared" ref="O9" si="3">F9</f>
        <v>283.8</v>
      </c>
      <c r="P9" s="94">
        <f t="shared" ref="P9" si="4">G9</f>
        <v>338.64</v>
      </c>
    </row>
    <row r="10" spans="2:16" ht="20.149999999999999" customHeight="1" thickBot="1" x14ac:dyDescent="0.4">
      <c r="B10" s="156"/>
      <c r="C10" s="47" t="s">
        <v>42</v>
      </c>
      <c r="D10" s="82">
        <f>'Grille tarifaire HT'!F6</f>
        <v>47.26493412938904</v>
      </c>
      <c r="E10" s="82">
        <f>('Grille tarifaire HT'!$F$6+'Grille tarifaire TTC'!$C$24)*(1+'Grille tarifaire TTC'!$C$23)</f>
        <v>76.361920955266839</v>
      </c>
      <c r="F10" s="55">
        <f>+'Grille tarifaire HT'!F7</f>
        <v>59.574126244457133</v>
      </c>
      <c r="G10" s="83">
        <f>('Grille tarifaire HT'!$F$7+'Grille tarifaire TTC'!$C$24)*(1+'Grille tarifaire TTC'!$C$23)</f>
        <v>91.132951493348543</v>
      </c>
      <c r="L10" s="93" t="s">
        <v>77</v>
      </c>
      <c r="M10" s="95">
        <f>ROUND(D10/1000,5)</f>
        <v>4.7260000000000003E-2</v>
      </c>
      <c r="N10" s="95">
        <f t="shared" ref="N10:P10" si="5">ROUND(E10/1000,5)</f>
        <v>7.6359999999999997E-2</v>
      </c>
      <c r="O10" s="95">
        <f t="shared" si="5"/>
        <v>5.9569999999999998E-2</v>
      </c>
      <c r="P10" s="95">
        <f t="shared" si="5"/>
        <v>9.1130000000000003E-2</v>
      </c>
    </row>
    <row r="11" spans="2:16" ht="20.149999999999999" customHeight="1" thickBot="1" x14ac:dyDescent="0.4">
      <c r="B11" s="100"/>
      <c r="D11" s="11"/>
      <c r="E11" s="11"/>
      <c r="F11" s="11"/>
      <c r="G11" s="11"/>
      <c r="M11" s="124"/>
    </row>
    <row r="12" spans="2:16" ht="20.149999999999999" customHeight="1" thickBot="1" x14ac:dyDescent="0.4">
      <c r="B12" s="100"/>
      <c r="D12" s="11"/>
      <c r="E12" s="11"/>
      <c r="F12" s="11"/>
      <c r="G12" s="11"/>
      <c r="L12" s="91"/>
      <c r="M12" s="153" t="s">
        <v>20</v>
      </c>
      <c r="N12" s="153"/>
      <c r="O12" s="153" t="s">
        <v>17</v>
      </c>
      <c r="P12" s="153"/>
    </row>
    <row r="13" spans="2:16" ht="20.149999999999999" customHeight="1" thickBot="1" x14ac:dyDescent="0.4">
      <c r="B13" s="100"/>
      <c r="D13" s="11"/>
      <c r="E13" s="11"/>
      <c r="F13" s="11"/>
      <c r="G13" s="11"/>
      <c r="L13" s="96"/>
      <c r="M13" s="79" t="s">
        <v>74</v>
      </c>
      <c r="N13" s="79" t="s">
        <v>75</v>
      </c>
      <c r="O13" s="79" t="s">
        <v>74</v>
      </c>
      <c r="P13" s="79" t="s">
        <v>75</v>
      </c>
    </row>
    <row r="14" spans="2:16" ht="20.149999999999999" customHeight="1" thickBot="1" x14ac:dyDescent="0.4">
      <c r="B14" s="156" t="s">
        <v>60</v>
      </c>
      <c r="C14" s="26" t="s">
        <v>62</v>
      </c>
      <c r="D14" s="88">
        <f>'Grille tarifaire HT'!G6</f>
        <v>113.88000000000001</v>
      </c>
      <c r="E14" s="85">
        <f>ROUND(('Grille tarifaire HT'!$G$6+'Grille tarifaire TTC'!$E$16)*(1+'Grille tarifaire TTC'!$C$22),2)</f>
        <v>139.24</v>
      </c>
      <c r="F14" s="82">
        <f>+'Grille tarifaire HT'!G7</f>
        <v>297.96000000000004</v>
      </c>
      <c r="G14" s="89">
        <f>ROUND(('Grille tarifaire HT'!$G$7+'Grille tarifaire TTC'!$E$17)*(1+'Grille tarifaire TTC'!$C$22),2)</f>
        <v>382.26</v>
      </c>
      <c r="L14" s="92" t="s">
        <v>62</v>
      </c>
      <c r="M14" s="94">
        <f>D14</f>
        <v>113.88000000000001</v>
      </c>
      <c r="N14" s="94">
        <f t="shared" ref="N14" si="6">E14</f>
        <v>139.24</v>
      </c>
      <c r="O14" s="94">
        <f t="shared" ref="O14" si="7">F14</f>
        <v>297.96000000000004</v>
      </c>
      <c r="P14" s="94">
        <f t="shared" ref="P14" si="8">G14</f>
        <v>382.26</v>
      </c>
    </row>
    <row r="15" spans="2:16" ht="20.149999999999999" customHeight="1" thickBot="1" x14ac:dyDescent="0.4">
      <c r="B15" s="156"/>
      <c r="C15" s="47" t="s">
        <v>42</v>
      </c>
      <c r="D15" s="82">
        <f>'Grille tarifaire HT'!H6</f>
        <v>152.12826027378944</v>
      </c>
      <c r="E15" s="82">
        <f>('Grille tarifaire HT'!$H$6+'Grille tarifaire TTC'!$C$24)*(1+'Grille tarifaire TTC'!$C$23)</f>
        <v>202.19791232854732</v>
      </c>
      <c r="F15" s="55">
        <f>+'Grille tarifaire HT'!H7</f>
        <v>76.200723077880568</v>
      </c>
      <c r="G15" s="83">
        <f>('Grille tarifaire HT'!$H$7+'Grille tarifaire TTC'!$C$24)*(1+'Grille tarifaire TTC'!$C$23)</f>
        <v>111.08486769345667</v>
      </c>
      <c r="L15" s="93" t="s">
        <v>77</v>
      </c>
      <c r="M15" s="95">
        <f>ROUND(D15/1000,5)</f>
        <v>0.15212999999999999</v>
      </c>
      <c r="N15" s="95">
        <f t="shared" ref="N15:P15" si="9">ROUND(E15/1000,5)</f>
        <v>0.20219999999999999</v>
      </c>
      <c r="O15" s="95">
        <f t="shared" si="9"/>
        <v>7.6200000000000004E-2</v>
      </c>
      <c r="P15" s="95">
        <f t="shared" si="9"/>
        <v>0.11108</v>
      </c>
    </row>
    <row r="16" spans="2:16" ht="20.149999999999999" customHeight="1" thickBot="1" x14ac:dyDescent="0.4">
      <c r="B16" s="100"/>
      <c r="D16" s="11"/>
      <c r="E16" s="11"/>
      <c r="F16" s="11"/>
      <c r="G16" s="11"/>
    </row>
    <row r="17" spans="2:16" ht="20.149999999999999" customHeight="1" thickBot="1" x14ac:dyDescent="0.4">
      <c r="B17" s="100"/>
      <c r="D17" s="11"/>
      <c r="E17" s="11"/>
      <c r="F17" s="11"/>
      <c r="G17" s="11"/>
      <c r="L17" s="91"/>
      <c r="M17" s="153" t="s">
        <v>20</v>
      </c>
      <c r="N17" s="153"/>
      <c r="O17" s="153" t="s">
        <v>17</v>
      </c>
      <c r="P17" s="153"/>
    </row>
    <row r="18" spans="2:16" ht="20.149999999999999" customHeight="1" thickBot="1" x14ac:dyDescent="0.4">
      <c r="B18" s="100"/>
      <c r="D18" s="11"/>
      <c r="E18" s="11"/>
      <c r="F18" s="11"/>
      <c r="G18" s="11"/>
      <c r="L18" s="96"/>
      <c r="M18" s="79" t="s">
        <v>74</v>
      </c>
      <c r="N18" s="79" t="s">
        <v>75</v>
      </c>
      <c r="O18" s="79" t="s">
        <v>74</v>
      </c>
      <c r="P18" s="79" t="s">
        <v>75</v>
      </c>
    </row>
    <row r="19" spans="2:16" ht="20.149999999999999" customHeight="1" thickBot="1" x14ac:dyDescent="0.4">
      <c r="B19" s="156" t="s">
        <v>34</v>
      </c>
      <c r="C19" s="26" t="s">
        <v>62</v>
      </c>
      <c r="D19" s="88">
        <f>'Grille tarifaire HT'!I6</f>
        <v>44.639999999999993</v>
      </c>
      <c r="E19" s="85">
        <f>ROUND(('Grille tarifaire HT'!$I$6+'Grille tarifaire TTC'!$F$16)*(1+'Grille tarifaire TTC'!$C$22),2)</f>
        <v>59.21</v>
      </c>
      <c r="F19" s="82">
        <f>+'Grille tarifaire HT'!I7</f>
        <v>181.44</v>
      </c>
      <c r="G19" s="89">
        <f>ROUND(('Grille tarifaire HT'!$I$7+'Grille tarifaire TTC'!$F$17)*(1+'Grille tarifaire TTC'!$C$22),2)</f>
        <v>232.03</v>
      </c>
      <c r="L19" s="92" t="s">
        <v>62</v>
      </c>
      <c r="M19" s="94">
        <f>D19</f>
        <v>44.639999999999993</v>
      </c>
      <c r="N19" s="94">
        <f t="shared" ref="N19" si="10">E19</f>
        <v>59.21</v>
      </c>
      <c r="O19" s="94">
        <f t="shared" ref="O19" si="11">F19</f>
        <v>181.44</v>
      </c>
      <c r="P19" s="94">
        <f t="shared" ref="P19" si="12">G19</f>
        <v>232.03</v>
      </c>
    </row>
    <row r="20" spans="2:16" ht="20.149999999999999" customHeight="1" thickBot="1" x14ac:dyDescent="0.4">
      <c r="B20" s="156"/>
      <c r="C20" s="47" t="s">
        <v>42</v>
      </c>
      <c r="D20" s="82">
        <f>'Grille tarifaire HT'!J6</f>
        <v>157.43781786532409</v>
      </c>
      <c r="E20" s="82">
        <f>('Grille tarifaire HT'!$J$6+'Grille tarifaire TTC'!$C$24)*(1+'Grille tarifaire TTC'!$C$23)</f>
        <v>208.56938143838892</v>
      </c>
      <c r="F20" s="55">
        <f>'Grille tarifaire HT'!J7</f>
        <v>66.271979006299887</v>
      </c>
      <c r="G20" s="83">
        <f>('Grille tarifaire HT'!$J$7+'Grille tarifaire TTC'!$C$24)*(1+'Grille tarifaire TTC'!$C$23)</f>
        <v>99.170374807559867</v>
      </c>
      <c r="L20" s="93" t="s">
        <v>77</v>
      </c>
      <c r="M20" s="95">
        <f>ROUND(D20/1000,5)</f>
        <v>0.15744</v>
      </c>
      <c r="N20" s="95">
        <f t="shared" ref="N20:P20" si="13">ROUND(E20/1000,5)</f>
        <v>0.20857000000000001</v>
      </c>
      <c r="O20" s="95">
        <f t="shared" si="13"/>
        <v>6.6269999999999996E-2</v>
      </c>
      <c r="P20" s="95">
        <f t="shared" si="13"/>
        <v>9.9169999999999994E-2</v>
      </c>
    </row>
    <row r="21" spans="2:16" ht="20.149999999999999" customHeight="1" thickBot="1" x14ac:dyDescent="0.4">
      <c r="B21" s="100"/>
      <c r="D21" s="11"/>
      <c r="E21" s="11"/>
      <c r="F21" s="11"/>
      <c r="G21" s="11"/>
    </row>
    <row r="22" spans="2:16" ht="20.149999999999999" customHeight="1" thickBot="1" x14ac:dyDescent="0.4">
      <c r="B22" s="100"/>
      <c r="D22" s="11"/>
      <c r="E22" s="11"/>
      <c r="F22" s="11"/>
      <c r="G22" s="11"/>
      <c r="L22" s="91"/>
      <c r="M22" s="153" t="s">
        <v>20</v>
      </c>
      <c r="N22" s="153"/>
      <c r="O22" s="153" t="s">
        <v>17</v>
      </c>
      <c r="P22" s="153"/>
    </row>
    <row r="23" spans="2:16" ht="20.149999999999999" customHeight="1" thickBot="1" x14ac:dyDescent="0.4">
      <c r="B23" s="100"/>
      <c r="D23" s="11"/>
      <c r="E23" s="11"/>
      <c r="F23" s="11"/>
      <c r="G23" s="11"/>
      <c r="L23" s="96"/>
      <c r="M23" s="79" t="s">
        <v>74</v>
      </c>
      <c r="N23" s="79" t="s">
        <v>75</v>
      </c>
      <c r="O23" s="79" t="s">
        <v>74</v>
      </c>
      <c r="P23" s="79" t="s">
        <v>75</v>
      </c>
    </row>
    <row r="24" spans="2:16" ht="20.149999999999999" customHeight="1" thickBot="1" x14ac:dyDescent="0.4">
      <c r="B24" s="156" t="s">
        <v>35</v>
      </c>
      <c r="C24" s="26" t="s">
        <v>62</v>
      </c>
      <c r="D24" s="88">
        <f>'Grille tarifaire HT'!K6</f>
        <v>94.32</v>
      </c>
      <c r="E24" s="85">
        <f>ROUND(('Grille tarifaire HT'!$K$6+'Grille tarifaire TTC'!$G$16)*(1+'Grille tarifaire TTC'!$C$22),2)</f>
        <v>114.41</v>
      </c>
      <c r="F24" s="82">
        <f>+'Grille tarifaire HT'!K7</f>
        <v>261.12</v>
      </c>
      <c r="G24" s="89">
        <f>ROUND(('Grille tarifaire HT'!$K$7+'Grille tarifaire TTC'!$G$17)*(1+'Grille tarifaire TTC'!$C$22),2)</f>
        <v>326.99</v>
      </c>
      <c r="L24" s="92" t="s">
        <v>62</v>
      </c>
      <c r="M24" s="94">
        <f>D24</f>
        <v>94.32</v>
      </c>
      <c r="N24" s="94">
        <f t="shared" ref="N24" si="14">E24</f>
        <v>114.41</v>
      </c>
      <c r="O24" s="94">
        <f t="shared" ref="O24" si="15">F24</f>
        <v>261.12</v>
      </c>
      <c r="P24" s="94">
        <f t="shared" ref="P24" si="16">G24</f>
        <v>326.99</v>
      </c>
    </row>
    <row r="25" spans="2:16" ht="20.149999999999999" customHeight="1" thickBot="1" x14ac:dyDescent="0.4">
      <c r="B25" s="156"/>
      <c r="C25" s="47" t="s">
        <v>42</v>
      </c>
      <c r="D25" s="82">
        <f>'Grille tarifaire HT'!L6</f>
        <v>135.13221475539913</v>
      </c>
      <c r="E25" s="82">
        <f>('Grille tarifaire HT'!$L$6+'Grille tarifaire TTC'!$C$24)*(1+'Grille tarifaire TTC'!$C$23)</f>
        <v>181.80265770647895</v>
      </c>
      <c r="F25" s="55">
        <f>+'Grille tarifaire HT'!L7</f>
        <v>62.075612458352992</v>
      </c>
      <c r="G25" s="83">
        <f>('Grille tarifaire HT'!$L$7+'Grille tarifaire TTC'!$C$24)*(1+'Grille tarifaire TTC'!$C$23)</f>
        <v>94.134734950023599</v>
      </c>
      <c r="L25" s="93" t="s">
        <v>77</v>
      </c>
      <c r="M25" s="95">
        <f>ROUND(D25/1000,5)</f>
        <v>0.13513</v>
      </c>
      <c r="N25" s="95">
        <f t="shared" ref="N25:P25" si="17">ROUND(E25/1000,5)</f>
        <v>0.18179999999999999</v>
      </c>
      <c r="O25" s="95">
        <f t="shared" si="17"/>
        <v>6.2080000000000003E-2</v>
      </c>
      <c r="P25" s="95">
        <f t="shared" si="17"/>
        <v>9.4130000000000005E-2</v>
      </c>
    </row>
    <row r="26" spans="2:16" ht="20.149999999999999" customHeight="1" thickBot="1" x14ac:dyDescent="0.4">
      <c r="B26" s="100"/>
      <c r="D26" s="11"/>
      <c r="E26" s="11"/>
      <c r="F26" s="11"/>
      <c r="G26" s="11"/>
      <c r="M26" s="124"/>
      <c r="O26" s="124"/>
    </row>
    <row r="27" spans="2:16" ht="20.149999999999999" customHeight="1" thickBot="1" x14ac:dyDescent="0.4">
      <c r="B27" s="100"/>
      <c r="D27" s="11"/>
      <c r="E27" s="11"/>
      <c r="F27" s="11"/>
      <c r="G27" s="11"/>
      <c r="L27" s="91"/>
      <c r="M27" s="153" t="s">
        <v>20</v>
      </c>
      <c r="N27" s="153"/>
      <c r="O27" s="153" t="s">
        <v>17</v>
      </c>
      <c r="P27" s="153"/>
    </row>
    <row r="28" spans="2:16" ht="20.149999999999999" customHeight="1" thickBot="1" x14ac:dyDescent="0.4">
      <c r="B28" s="100"/>
      <c r="D28" s="11"/>
      <c r="E28" s="11"/>
      <c r="F28" s="11"/>
      <c r="G28" s="11"/>
      <c r="L28" s="96"/>
      <c r="M28" s="79" t="s">
        <v>74</v>
      </c>
      <c r="N28" s="79" t="s">
        <v>75</v>
      </c>
      <c r="O28" s="79" t="s">
        <v>74</v>
      </c>
      <c r="P28" s="79" t="s">
        <v>75</v>
      </c>
    </row>
    <row r="29" spans="2:16" ht="20.149999999999999" customHeight="1" thickBot="1" x14ac:dyDescent="0.4">
      <c r="B29" s="156" t="s">
        <v>36</v>
      </c>
      <c r="C29" s="26" t="s">
        <v>62</v>
      </c>
      <c r="D29" s="88">
        <f>'Grille tarifaire HT'!M6</f>
        <v>100.2</v>
      </c>
      <c r="E29" s="85">
        <f>ROUND(('Grille tarifaire HT'!$M$6+'Grille tarifaire TTC'!$H$16)*(1+'Grille tarifaire TTC'!$C$22),2)</f>
        <v>116.45</v>
      </c>
      <c r="F29" s="82">
        <f>+'Grille tarifaire HT'!M7</f>
        <v>242.28</v>
      </c>
      <c r="G29" s="89">
        <f>ROUND(('Grille tarifaire HT'!$M$7+'Grille tarifaire TTC'!$H$17)*(1+'Grille tarifaire TTC'!$C$22),2)</f>
        <v>290.86</v>
      </c>
      <c r="L29" s="92" t="s">
        <v>62</v>
      </c>
      <c r="M29" s="94">
        <f>D29</f>
        <v>100.2</v>
      </c>
      <c r="N29" s="94">
        <f t="shared" ref="N29" si="18">E29</f>
        <v>116.45</v>
      </c>
      <c r="O29" s="94">
        <f t="shared" ref="O29" si="19">F29</f>
        <v>242.28</v>
      </c>
      <c r="P29" s="94">
        <f t="shared" ref="P29" si="20">G29</f>
        <v>290.86</v>
      </c>
    </row>
    <row r="30" spans="2:16" ht="20.149999999999999" customHeight="1" thickBot="1" x14ac:dyDescent="0.4">
      <c r="B30" s="156"/>
      <c r="C30" s="47" t="s">
        <v>42</v>
      </c>
      <c r="D30" s="82">
        <f>'Grille tarifaire HT'!N6</f>
        <v>103.93210357960979</v>
      </c>
      <c r="E30" s="82">
        <f>('Grille tarifaire HT'!$N$6+'Grille tarifaire TTC'!$C$24)*(1+'Grille tarifaire TTC'!$C$23)</f>
        <v>144.36252429553176</v>
      </c>
      <c r="F30" s="55">
        <f>+'Grille tarifaire HT'!N7</f>
        <v>58.836370697694562</v>
      </c>
      <c r="G30" s="83">
        <f>('Grille tarifaire HT'!$N$7+'Grille tarifaire TTC'!$C$24)*(1+'Grille tarifaire TTC'!$C$23)</f>
        <v>90.247644837233466</v>
      </c>
      <c r="L30" s="93" t="s">
        <v>77</v>
      </c>
      <c r="M30" s="95">
        <f>ROUND(D30/1000,5)</f>
        <v>0.10392999999999999</v>
      </c>
      <c r="N30" s="95">
        <f t="shared" ref="N30:P30" si="21">ROUND(E30/1000,5)</f>
        <v>0.14435999999999999</v>
      </c>
      <c r="O30" s="95">
        <f t="shared" si="21"/>
        <v>5.8840000000000003E-2</v>
      </c>
      <c r="P30" s="95">
        <f t="shared" si="21"/>
        <v>9.0249999999999997E-2</v>
      </c>
    </row>
    <row r="31" spans="2:16" ht="20.149999999999999" customHeight="1" thickBot="1" x14ac:dyDescent="0.4">
      <c r="B31" s="100"/>
      <c r="D31" s="11"/>
      <c r="E31" s="11"/>
      <c r="F31" s="11"/>
      <c r="G31" s="11"/>
    </row>
    <row r="32" spans="2:16" ht="20.149999999999999" customHeight="1" thickBot="1" x14ac:dyDescent="0.4">
      <c r="B32" s="100"/>
      <c r="D32" s="11"/>
      <c r="E32" s="11"/>
      <c r="F32" s="11"/>
      <c r="G32" s="11"/>
      <c r="L32" s="91"/>
      <c r="M32" s="153" t="s">
        <v>20</v>
      </c>
      <c r="N32" s="153"/>
      <c r="O32" s="153" t="s">
        <v>17</v>
      </c>
      <c r="P32" s="153"/>
    </row>
    <row r="33" spans="2:16" ht="20.149999999999999" customHeight="1" thickBot="1" x14ac:dyDescent="0.4">
      <c r="B33" s="100"/>
      <c r="D33" s="11"/>
      <c r="E33" s="11"/>
      <c r="F33" s="11"/>
      <c r="G33" s="11"/>
      <c r="L33" s="96"/>
      <c r="M33" s="79" t="s">
        <v>74</v>
      </c>
      <c r="N33" s="79" t="s">
        <v>75</v>
      </c>
      <c r="O33" s="79" t="s">
        <v>74</v>
      </c>
      <c r="P33" s="79" t="s">
        <v>75</v>
      </c>
    </row>
    <row r="34" spans="2:16" ht="20.149999999999999" customHeight="1" thickBot="1" x14ac:dyDescent="0.4">
      <c r="B34" s="156" t="s">
        <v>37</v>
      </c>
      <c r="C34" s="26" t="s">
        <v>62</v>
      </c>
      <c r="D34" s="88">
        <f>'Grille tarifaire HT'!O6</f>
        <v>147.84</v>
      </c>
      <c r="E34" s="85">
        <f>ROUND(('Grille tarifaire HT'!$O$6+'Grille tarifaire TTC'!$I$16)*(1+'Grille tarifaire TTC'!$C$22),2)</f>
        <v>168.09</v>
      </c>
      <c r="F34" s="82">
        <f>+'Grille tarifaire HT'!O7</f>
        <v>224.88</v>
      </c>
      <c r="G34" s="89">
        <f>ROUND(('Grille tarifaire HT'!$O$7+'Grille tarifaire TTC'!$I$17)*(1+'Grille tarifaire TTC'!$C$22),2)</f>
        <v>277.95</v>
      </c>
      <c r="L34" s="92" t="s">
        <v>62</v>
      </c>
      <c r="M34" s="94">
        <f>D34</f>
        <v>147.84</v>
      </c>
      <c r="N34" s="94">
        <f t="shared" ref="N34" si="22">E34</f>
        <v>168.09</v>
      </c>
      <c r="O34" s="94">
        <f t="shared" ref="O34" si="23">F34</f>
        <v>224.88</v>
      </c>
      <c r="P34" s="94">
        <f t="shared" ref="P34" si="24">G34</f>
        <v>277.95</v>
      </c>
    </row>
    <row r="35" spans="2:16" ht="20.149999999999999" customHeight="1" thickBot="1" x14ac:dyDescent="0.4">
      <c r="B35" s="156"/>
      <c r="C35" s="47" t="s">
        <v>42</v>
      </c>
      <c r="D35" s="82">
        <f>'Grille tarifaire HT'!P6</f>
        <v>75.613055960562178</v>
      </c>
      <c r="E35" s="82">
        <f>('Grille tarifaire HT'!$P$6+'Grille tarifaire TTC'!$C$24)*(1+'Grille tarifaire TTC'!$C$23)</f>
        <v>110.37966715267461</v>
      </c>
      <c r="F35" s="55">
        <f>+'Grille tarifaire HT'!P7</f>
        <v>63.096133308970529</v>
      </c>
      <c r="G35" s="83">
        <f>('Grille tarifaire HT'!$P$7+'Grille tarifaire TTC'!$C$24)*(1+'Grille tarifaire TTC'!$C$23)</f>
        <v>95.359359970764629</v>
      </c>
      <c r="L35" s="93" t="s">
        <v>77</v>
      </c>
      <c r="M35" s="95">
        <f>ROUND(D35/1000,5)</f>
        <v>7.5609999999999997E-2</v>
      </c>
      <c r="N35" s="95">
        <f>ROUND(E35/1000,5)</f>
        <v>0.11038000000000001</v>
      </c>
      <c r="O35" s="95">
        <f>ROUND(F35/1000,5)</f>
        <v>6.3100000000000003E-2</v>
      </c>
      <c r="P35" s="95">
        <f>ROUND(G35/1000,5)</f>
        <v>9.536E-2</v>
      </c>
    </row>
    <row r="36" spans="2:16" ht="20.149999999999999" customHeight="1" thickBot="1" x14ac:dyDescent="0.4">
      <c r="B36" s="100"/>
      <c r="D36" s="11"/>
      <c r="E36" s="11"/>
      <c r="F36" s="11"/>
      <c r="G36" s="11"/>
    </row>
    <row r="37" spans="2:16" ht="20.149999999999999" customHeight="1" thickBot="1" x14ac:dyDescent="0.4">
      <c r="B37" s="100"/>
      <c r="D37" s="11"/>
      <c r="E37" s="11"/>
      <c r="F37" s="11"/>
      <c r="G37" s="11"/>
      <c r="L37" s="91"/>
      <c r="M37" s="153" t="s">
        <v>20</v>
      </c>
      <c r="N37" s="153"/>
      <c r="O37" s="153" t="s">
        <v>17</v>
      </c>
      <c r="P37" s="153"/>
    </row>
    <row r="38" spans="2:16" ht="20.149999999999999" customHeight="1" thickBot="1" x14ac:dyDescent="0.4">
      <c r="B38" s="100"/>
      <c r="D38" s="11"/>
      <c r="E38" s="11"/>
      <c r="F38" s="11"/>
      <c r="G38" s="11"/>
      <c r="L38" s="96"/>
      <c r="M38" s="79" t="s">
        <v>74</v>
      </c>
      <c r="N38" s="79" t="s">
        <v>75</v>
      </c>
      <c r="O38" s="79" t="s">
        <v>74</v>
      </c>
      <c r="P38" s="79" t="s">
        <v>75</v>
      </c>
    </row>
    <row r="39" spans="2:16" ht="20.149999999999999" customHeight="1" thickBot="1" x14ac:dyDescent="0.4">
      <c r="B39" s="156" t="s">
        <v>38</v>
      </c>
      <c r="C39" s="26" t="s">
        <v>62</v>
      </c>
      <c r="D39" s="88">
        <f>'Grille tarifaire HT'!Q6</f>
        <v>94.799999999999983</v>
      </c>
      <c r="E39" s="85">
        <f>ROUND(('Grille tarifaire HT'!$Q$6+'Grille tarifaire TTC'!$J$16)*(1+'Grille tarifaire TTC'!$C$22),2)</f>
        <v>112.35</v>
      </c>
      <c r="F39" s="82">
        <f>+'Grille tarifaire HT'!Q7</f>
        <v>199.2</v>
      </c>
      <c r="G39" s="89">
        <f>ROUND(('Grille tarifaire HT'!$Q$7+'Grille tarifaire TTC'!$J$17)*(1+'Grille tarifaire TTC'!$C$22),2)</f>
        <v>251.68</v>
      </c>
      <c r="L39" s="92" t="s">
        <v>62</v>
      </c>
      <c r="M39" s="94">
        <f>D39</f>
        <v>94.799999999999983</v>
      </c>
      <c r="N39" s="94">
        <f t="shared" ref="N39" si="25">E39</f>
        <v>112.35</v>
      </c>
      <c r="O39" s="94">
        <f t="shared" ref="O39" si="26">F39</f>
        <v>199.2</v>
      </c>
      <c r="P39" s="94">
        <f t="shared" ref="P39" si="27">G39</f>
        <v>251.68</v>
      </c>
    </row>
    <row r="40" spans="2:16" ht="20.149999999999999" customHeight="1" thickBot="1" x14ac:dyDescent="0.4">
      <c r="B40" s="156"/>
      <c r="C40" s="47" t="s">
        <v>42</v>
      </c>
      <c r="D40" s="82">
        <f>'Grille tarifaire HT'!R6</f>
        <v>120.85236115533682</v>
      </c>
      <c r="E40" s="82">
        <f>('Grille tarifaire HT'!$R$6+'Grille tarifaire TTC'!$C$24)*(1+'Grille tarifaire TTC'!$C$23)</f>
        <v>164.66683338640416</v>
      </c>
      <c r="F40" s="55">
        <f>+'Grille tarifaire HT'!R7</f>
        <v>69.28022060341425</v>
      </c>
      <c r="G40" s="83">
        <f>('Grille tarifaire HT'!$R$7+'Grille tarifaire TTC'!$C$24)*(1+'Grille tarifaire TTC'!$C$23)</f>
        <v>102.78026472409711</v>
      </c>
      <c r="L40" s="93" t="s">
        <v>77</v>
      </c>
      <c r="M40" s="95">
        <f>ROUND(D40/1000,5)</f>
        <v>0.12085</v>
      </c>
      <c r="N40" s="95">
        <f t="shared" ref="N40:P40" si="28">ROUND(E40/1000,5)</f>
        <v>0.16467000000000001</v>
      </c>
      <c r="O40" s="95">
        <f t="shared" si="28"/>
        <v>6.9279999999999994E-2</v>
      </c>
      <c r="P40" s="95">
        <f t="shared" si="28"/>
        <v>0.10278</v>
      </c>
    </row>
    <row r="41" spans="2:16" ht="20.149999999999999" customHeight="1" thickBot="1" x14ac:dyDescent="0.4">
      <c r="B41" s="100"/>
      <c r="D41" s="11"/>
      <c r="E41" s="11"/>
      <c r="F41" s="11"/>
      <c r="G41" s="11"/>
    </row>
    <row r="42" spans="2:16" ht="20.149999999999999" customHeight="1" thickBot="1" x14ac:dyDescent="0.4">
      <c r="B42" s="100"/>
      <c r="D42" s="11"/>
      <c r="E42" s="11"/>
      <c r="F42" s="11"/>
      <c r="G42" s="11"/>
      <c r="L42" s="91"/>
      <c r="M42" s="153" t="s">
        <v>20</v>
      </c>
      <c r="N42" s="153"/>
      <c r="O42" s="153" t="s">
        <v>17</v>
      </c>
      <c r="P42" s="153"/>
    </row>
    <row r="43" spans="2:16" ht="20.149999999999999" customHeight="1" thickBot="1" x14ac:dyDescent="0.4">
      <c r="B43" s="100"/>
      <c r="D43" s="11"/>
      <c r="E43" s="11"/>
      <c r="F43" s="11"/>
      <c r="G43" s="11"/>
      <c r="L43" s="96"/>
      <c r="M43" s="79" t="s">
        <v>74</v>
      </c>
      <c r="N43" s="79" t="s">
        <v>75</v>
      </c>
      <c r="O43" s="79" t="s">
        <v>74</v>
      </c>
      <c r="P43" s="79" t="s">
        <v>75</v>
      </c>
    </row>
    <row r="44" spans="2:16" ht="20.149999999999999" customHeight="1" thickBot="1" x14ac:dyDescent="0.4">
      <c r="B44" s="156" t="s">
        <v>39</v>
      </c>
      <c r="C44" s="26" t="s">
        <v>62</v>
      </c>
      <c r="D44" s="88">
        <f>'Grille tarifaire HT'!S6</f>
        <v>94.52000000000001</v>
      </c>
      <c r="E44" s="85">
        <f>ROUND(('Grille tarifaire HT'!$S$6+'Grille tarifaire TTC'!$K$16)*(1+'Grille tarifaire TTC'!$C$22),2)</f>
        <v>113.59</v>
      </c>
      <c r="F44" s="82">
        <f>+'Grille tarifaire HT'!S7</f>
        <v>326.53999999999996</v>
      </c>
      <c r="G44" s="89">
        <f>ROUND(('Grille tarifaire HT'!$S$7+'Grille tarifaire TTC'!$K$17)*(1+'Grille tarifaire TTC'!$C$22),2)</f>
        <v>392</v>
      </c>
      <c r="L44" s="92" t="s">
        <v>62</v>
      </c>
      <c r="M44" s="94">
        <f>D44</f>
        <v>94.52000000000001</v>
      </c>
      <c r="N44" s="94">
        <f t="shared" ref="N44" si="29">E44</f>
        <v>113.59</v>
      </c>
      <c r="O44" s="94">
        <f t="shared" ref="O44" si="30">F44</f>
        <v>326.53999999999996</v>
      </c>
      <c r="P44" s="94">
        <f t="shared" ref="P44" si="31">G44</f>
        <v>392</v>
      </c>
    </row>
    <row r="45" spans="2:16" ht="20.149999999999999" customHeight="1" thickBot="1" x14ac:dyDescent="0.4">
      <c r="B45" s="156"/>
      <c r="C45" s="47" t="s">
        <v>42</v>
      </c>
      <c r="D45" s="82">
        <f>'Grille tarifaire HT'!T6</f>
        <v>130.12627207200788</v>
      </c>
      <c r="E45" s="82">
        <f>('Grille tarifaire HT'!$T$6+'Grille tarifaire TTC'!$C$24)*(1+'Grille tarifaire TTC'!$C$23)</f>
        <v>175.79552648640944</v>
      </c>
      <c r="F45" s="55">
        <f>+'Grille tarifaire HT'!T7</f>
        <v>59.580524190360499</v>
      </c>
      <c r="G45" s="83">
        <f>('Grille tarifaire HT'!$T$7+'Grille tarifaire TTC'!$C$24)*(1+'Grille tarifaire TTC'!$C$23)</f>
        <v>91.140629028432599</v>
      </c>
      <c r="L45" s="93" t="s">
        <v>77</v>
      </c>
      <c r="M45" s="95">
        <f>ROUND(D45/1000,5)</f>
        <v>0.13013</v>
      </c>
      <c r="N45" s="95">
        <f t="shared" ref="N45:P45" si="32">ROUND(E45/1000,5)</f>
        <v>0.17580000000000001</v>
      </c>
      <c r="O45" s="95">
        <f t="shared" si="32"/>
        <v>5.9580000000000001E-2</v>
      </c>
      <c r="P45" s="95">
        <f t="shared" si="32"/>
        <v>9.1139999999999999E-2</v>
      </c>
    </row>
    <row r="46" spans="2:16" ht="20.149999999999999" customHeight="1" thickBot="1" x14ac:dyDescent="0.4">
      <c r="B46" s="100"/>
      <c r="D46" s="11"/>
      <c r="E46" s="11"/>
      <c r="F46" s="11"/>
      <c r="G46" s="11"/>
    </row>
    <row r="47" spans="2:16" ht="20.149999999999999" customHeight="1" thickBot="1" x14ac:dyDescent="0.4">
      <c r="B47" s="100"/>
      <c r="D47" s="11"/>
      <c r="E47" s="11"/>
      <c r="F47" s="11"/>
      <c r="G47" s="11"/>
      <c r="L47" s="91"/>
      <c r="M47" s="153" t="s">
        <v>20</v>
      </c>
      <c r="N47" s="153"/>
      <c r="O47" s="153" t="s">
        <v>17</v>
      </c>
      <c r="P47" s="153"/>
    </row>
    <row r="48" spans="2:16" ht="20.149999999999999" customHeight="1" thickBot="1" x14ac:dyDescent="0.4">
      <c r="B48" s="100"/>
      <c r="D48" s="11"/>
      <c r="E48" s="11"/>
      <c r="F48" s="11"/>
      <c r="G48" s="11"/>
      <c r="L48" s="96"/>
      <c r="M48" s="79" t="s">
        <v>74</v>
      </c>
      <c r="N48" s="79" t="s">
        <v>75</v>
      </c>
      <c r="O48" s="79" t="s">
        <v>74</v>
      </c>
      <c r="P48" s="79" t="s">
        <v>75</v>
      </c>
    </row>
    <row r="49" spans="2:16" ht="20.149999999999999" customHeight="1" thickBot="1" x14ac:dyDescent="0.4">
      <c r="B49" s="156" t="s">
        <v>52</v>
      </c>
      <c r="C49" s="26" t="s">
        <v>62</v>
      </c>
      <c r="D49" s="88">
        <f>'Grille tarifaire HT'!U6</f>
        <v>72.599999999999994</v>
      </c>
      <c r="E49" s="85">
        <f>ROUND(('Grille tarifaire HT'!$U$6+'Grille tarifaire TTC'!$L$16)*(1+'Grille tarifaire TTC'!$C$22),2)</f>
        <v>89.78</v>
      </c>
      <c r="F49" s="82">
        <f>+'Grille tarifaire HT'!U7</f>
        <v>249.23999999999998</v>
      </c>
      <c r="G49" s="89">
        <f>ROUND(('Grille tarifaire HT'!$U$7+'Grille tarifaire TTC'!$U$17)*(1+'Grille tarifaire TTC'!$C$22),2)</f>
        <v>307.82</v>
      </c>
      <c r="L49" s="92" t="s">
        <v>62</v>
      </c>
      <c r="M49" s="94">
        <f>D49</f>
        <v>72.599999999999994</v>
      </c>
      <c r="N49" s="94">
        <f t="shared" ref="N49" si="33">E49</f>
        <v>89.78</v>
      </c>
      <c r="O49" s="94">
        <f t="shared" ref="O49" si="34">F49</f>
        <v>249.23999999999998</v>
      </c>
      <c r="P49" s="94">
        <f t="shared" ref="P49" si="35">G49</f>
        <v>307.82</v>
      </c>
    </row>
    <row r="50" spans="2:16" ht="20.149999999999999" customHeight="1" thickBot="1" x14ac:dyDescent="0.4">
      <c r="B50" s="156"/>
      <c r="C50" s="47" t="s">
        <v>42</v>
      </c>
      <c r="D50" s="82">
        <f>'Grille tarifaire HT'!V6</f>
        <v>142.70040556130729</v>
      </c>
      <c r="E50" s="82">
        <f>('Grille tarifaire HT'!$V$6+'Grille tarifaire TTC'!$C$24)*(1+'Grille tarifaire TTC'!$C$23)</f>
        <v>190.88448667356874</v>
      </c>
      <c r="F50" s="55">
        <f>+'Grille tarifaire HT'!V7</f>
        <v>63.186442832255672</v>
      </c>
      <c r="G50" s="83">
        <f>('Grille tarifaire HT'!$V$7+'Grille tarifaire TTC'!$C$24)*(1+'Grille tarifaire TTC'!$C$23)</f>
        <v>95.467731398706803</v>
      </c>
      <c r="L50" s="93" t="s">
        <v>77</v>
      </c>
      <c r="M50" s="95">
        <f>ROUND(D50/1000,5)</f>
        <v>0.14269999999999999</v>
      </c>
      <c r="N50" s="95">
        <f t="shared" ref="N50:P50" si="36">ROUND(E50/1000,5)</f>
        <v>0.19087999999999999</v>
      </c>
      <c r="O50" s="95">
        <f t="shared" si="36"/>
        <v>6.3189999999999996E-2</v>
      </c>
      <c r="P50" s="95">
        <f t="shared" si="36"/>
        <v>9.5469999999999999E-2</v>
      </c>
    </row>
    <row r="51" spans="2:16" ht="20.149999999999999" customHeight="1" thickBot="1" x14ac:dyDescent="0.4">
      <c r="B51" s="100"/>
      <c r="D51" s="11"/>
      <c r="E51" s="11"/>
      <c r="F51" s="11"/>
      <c r="G51" s="11"/>
    </row>
    <row r="52" spans="2:16" ht="20.149999999999999" customHeight="1" thickBot="1" x14ac:dyDescent="0.4">
      <c r="B52" s="100"/>
      <c r="D52" s="11"/>
      <c r="E52" s="11"/>
      <c r="F52" s="11"/>
      <c r="G52" s="11"/>
      <c r="L52" s="91"/>
      <c r="M52" s="153" t="s">
        <v>20</v>
      </c>
      <c r="N52" s="153"/>
      <c r="O52" s="153" t="s">
        <v>17</v>
      </c>
      <c r="P52" s="153"/>
    </row>
    <row r="53" spans="2:16" ht="20.149999999999999" customHeight="1" thickBot="1" x14ac:dyDescent="0.4">
      <c r="B53" s="100"/>
      <c r="D53" s="11"/>
      <c r="E53" s="11"/>
      <c r="F53" s="11"/>
      <c r="G53" s="11"/>
      <c r="L53" s="96"/>
      <c r="M53" s="79" t="s">
        <v>74</v>
      </c>
      <c r="N53" s="79" t="s">
        <v>75</v>
      </c>
      <c r="O53" s="79" t="s">
        <v>74</v>
      </c>
      <c r="P53" s="79" t="s">
        <v>75</v>
      </c>
    </row>
    <row r="54" spans="2:16" ht="20.149999999999999" customHeight="1" thickBot="1" x14ac:dyDescent="0.4">
      <c r="B54" s="156" t="s">
        <v>73</v>
      </c>
      <c r="C54" s="26" t="s">
        <v>62</v>
      </c>
      <c r="D54" s="88">
        <f>'Grille tarifaire HT'!W6</f>
        <v>57.639999999999993</v>
      </c>
      <c r="E54" s="85">
        <f>ROUND(('Grille tarifaire HT'!$W$6+'Grille tarifaire TTC'!$M$16)*(1+'Grille tarifaire TTC'!$C$22),2)</f>
        <v>73.989999999999995</v>
      </c>
      <c r="F54" s="82">
        <f>+'Grille tarifaire HT'!W7</f>
        <v>177.23999999999998</v>
      </c>
      <c r="G54" s="89">
        <f>ROUND(('Grille tarifaire HT'!$W$7+'Grille tarifaire TTC'!$W$17)*(1+'Grille tarifaire TTC'!$C$22),2)</f>
        <v>231.86</v>
      </c>
      <c r="L54" s="92" t="s">
        <v>62</v>
      </c>
      <c r="M54" s="94">
        <f>D54</f>
        <v>57.639999999999993</v>
      </c>
      <c r="N54" s="94">
        <f t="shared" ref="N54" si="37">E54</f>
        <v>73.989999999999995</v>
      </c>
      <c r="O54" s="94">
        <f t="shared" ref="O54" si="38">F54</f>
        <v>177.23999999999998</v>
      </c>
      <c r="P54" s="94">
        <f t="shared" ref="P54" si="39">G54</f>
        <v>231.86</v>
      </c>
    </row>
    <row r="55" spans="2:16" ht="20.149999999999999" customHeight="1" thickBot="1" x14ac:dyDescent="0.4">
      <c r="B55" s="156"/>
      <c r="C55" s="47" t="s">
        <v>42</v>
      </c>
      <c r="D55" s="82">
        <f>'Grille tarifaire HT'!X6</f>
        <v>154.97298980211306</v>
      </c>
      <c r="E55" s="82">
        <f>('Grille tarifaire HT'!$X$6+'Grille tarifaire TTC'!$C$24)*(1+'Grille tarifaire TTC'!$C$23)</f>
        <v>205.61158776253566</v>
      </c>
      <c r="F55" s="55">
        <f>+'Grille tarifaire HT'!X7</f>
        <v>68.907588773295046</v>
      </c>
      <c r="G55" s="83">
        <f>('Grille tarifaire HT'!$X$7+'Grille tarifaire TTC'!$C$24)*(1+'Grille tarifaire TTC'!$C$23)</f>
        <v>102.33310652795404</v>
      </c>
      <c r="L55" s="93" t="s">
        <v>77</v>
      </c>
      <c r="M55" s="95">
        <f>ROUND(D55/1000,5)</f>
        <v>0.15497</v>
      </c>
      <c r="N55" s="95">
        <f t="shared" ref="N55:P55" si="40">ROUND(E55/1000,5)</f>
        <v>0.20560999999999999</v>
      </c>
      <c r="O55" s="95">
        <f t="shared" si="40"/>
        <v>6.8909999999999999E-2</v>
      </c>
      <c r="P55" s="95">
        <f t="shared" si="40"/>
        <v>0.10233</v>
      </c>
    </row>
    <row r="56" spans="2:16" ht="20.149999999999999" customHeight="1" thickBot="1" x14ac:dyDescent="0.4">
      <c r="B56" s="100"/>
      <c r="D56" s="11"/>
      <c r="E56" s="11"/>
      <c r="F56" s="11"/>
      <c r="G56" s="11"/>
    </row>
    <row r="57" spans="2:16" ht="20.149999999999999" customHeight="1" thickBot="1" x14ac:dyDescent="0.4">
      <c r="B57" s="100"/>
      <c r="D57" s="11"/>
      <c r="E57" s="11"/>
      <c r="F57" s="11"/>
      <c r="G57" s="11"/>
      <c r="L57" s="91"/>
      <c r="M57" s="153" t="s">
        <v>20</v>
      </c>
      <c r="N57" s="153"/>
      <c r="O57" s="153" t="s">
        <v>17</v>
      </c>
      <c r="P57" s="153"/>
    </row>
    <row r="58" spans="2:16" ht="20.149999999999999" customHeight="1" thickBot="1" x14ac:dyDescent="0.4">
      <c r="B58" s="100"/>
      <c r="D58" s="11"/>
      <c r="E58" s="11"/>
      <c r="F58" s="11"/>
      <c r="G58" s="11"/>
      <c r="L58" s="96"/>
      <c r="M58" s="79" t="s">
        <v>74</v>
      </c>
      <c r="N58" s="79" t="s">
        <v>75</v>
      </c>
      <c r="O58" s="79" t="s">
        <v>74</v>
      </c>
      <c r="P58" s="79" t="s">
        <v>75</v>
      </c>
    </row>
    <row r="59" spans="2:16" ht="20.149999999999999" customHeight="1" thickBot="1" x14ac:dyDescent="0.4">
      <c r="B59" s="156" t="s">
        <v>54</v>
      </c>
      <c r="C59" s="26" t="s">
        <v>62</v>
      </c>
      <c r="D59" s="88">
        <f>'Grille tarifaire HT'!Y6</f>
        <v>90.419999999999987</v>
      </c>
      <c r="E59" s="85">
        <f>ROUND(('Grille tarifaire HT'!$Y$6+'Grille tarifaire TTC'!$N$16)*(1+'Grille tarifaire TTC'!$C$22),2)</f>
        <v>108.58</v>
      </c>
      <c r="F59" s="82">
        <f>+'Grille tarifaire HT'!Y7</f>
        <v>217.45</v>
      </c>
      <c r="G59" s="89">
        <f>ROUND(('Grille tarifaire HT'!$Y$7+'Grille tarifaire TTC'!$N$17)*(1+'Grille tarifaire TTC'!$C$22),2)</f>
        <v>274.27999999999997</v>
      </c>
      <c r="L59" s="92" t="s">
        <v>62</v>
      </c>
      <c r="M59" s="94">
        <f>D59</f>
        <v>90.419999999999987</v>
      </c>
      <c r="N59" s="94">
        <f t="shared" ref="N59" si="41">E59</f>
        <v>108.58</v>
      </c>
      <c r="O59" s="94">
        <f t="shared" ref="O59" si="42">F59</f>
        <v>217.45</v>
      </c>
      <c r="P59" s="94">
        <f t="shared" ref="P59" si="43">G59</f>
        <v>274.27999999999997</v>
      </c>
    </row>
    <row r="60" spans="2:16" ht="20.149999999999999" customHeight="1" thickBot="1" x14ac:dyDescent="0.4">
      <c r="B60" s="156"/>
      <c r="C60" s="47" t="s">
        <v>42</v>
      </c>
      <c r="D60" s="82">
        <f>'Grille tarifaire HT'!Z6</f>
        <v>127.580958978273</v>
      </c>
      <c r="E60" s="82">
        <f>('Grille tarifaire HT'!$Z$6+'Grille tarifaire TTC'!$C$24)*(1+'Grille tarifaire TTC'!$C$23)</f>
        <v>172.74115077392761</v>
      </c>
      <c r="F60" s="55">
        <f>+'Grille tarifaire HT'!Z7</f>
        <v>63.014225817100922</v>
      </c>
      <c r="G60" s="83">
        <f>('Grille tarifaire HT'!$Z$7+'Grille tarifaire TTC'!$C$24)*(1+'Grille tarifaire TTC'!$C$23)</f>
        <v>95.261070980521097</v>
      </c>
      <c r="L60" s="93" t="s">
        <v>77</v>
      </c>
      <c r="M60" s="95">
        <f>ROUND(D60/1000,5)</f>
        <v>0.12758</v>
      </c>
      <c r="N60" s="95">
        <f t="shared" ref="N60:P60" si="44">ROUND(E60/1000,5)</f>
        <v>0.17274</v>
      </c>
      <c r="O60" s="95">
        <f t="shared" si="44"/>
        <v>6.3009999999999997E-2</v>
      </c>
      <c r="P60" s="95">
        <f t="shared" si="44"/>
        <v>9.5259999999999997E-2</v>
      </c>
    </row>
    <row r="61" spans="2:16" ht="20.149999999999999" customHeight="1" thickBot="1" x14ac:dyDescent="0.4">
      <c r="B61" s="100"/>
      <c r="D61" s="11"/>
      <c r="E61" s="11"/>
      <c r="F61" s="11"/>
      <c r="G61" s="11"/>
    </row>
    <row r="62" spans="2:16" ht="20.149999999999999" customHeight="1" thickBot="1" x14ac:dyDescent="0.4">
      <c r="B62" s="100"/>
      <c r="D62" s="11"/>
      <c r="E62" s="11"/>
      <c r="F62" s="11"/>
      <c r="G62" s="11"/>
      <c r="L62" s="91"/>
      <c r="M62" s="153" t="s">
        <v>20</v>
      </c>
      <c r="N62" s="153"/>
      <c r="O62" s="153" t="s">
        <v>17</v>
      </c>
      <c r="P62" s="153"/>
    </row>
    <row r="63" spans="2:16" ht="20.149999999999999" customHeight="1" thickBot="1" x14ac:dyDescent="0.4">
      <c r="B63" s="100"/>
      <c r="D63" s="11"/>
      <c r="E63" s="11"/>
      <c r="F63" s="11"/>
      <c r="G63" s="11"/>
      <c r="L63" s="96"/>
      <c r="M63" s="79" t="s">
        <v>74</v>
      </c>
      <c r="N63" s="79" t="s">
        <v>75</v>
      </c>
      <c r="O63" s="79" t="s">
        <v>74</v>
      </c>
      <c r="P63" s="79" t="s">
        <v>75</v>
      </c>
    </row>
    <row r="64" spans="2:16" ht="20.149999999999999" customHeight="1" thickBot="1" x14ac:dyDescent="0.4">
      <c r="B64" s="156" t="s">
        <v>43</v>
      </c>
      <c r="C64" s="26" t="s">
        <v>62</v>
      </c>
      <c r="D64" s="88">
        <f>'Grille tarifaire HT'!AA6</f>
        <v>82.94</v>
      </c>
      <c r="E64" s="85">
        <f>ROUND(('Grille tarifaire HT'!$AA$6+'Grille tarifaire TTC'!$O$16)*(1+'Grille tarifaire TTC'!$C$22),2)</f>
        <v>100.68</v>
      </c>
      <c r="F64" s="82">
        <f>+'Grille tarifaire HT'!AA7</f>
        <v>240.02999999999997</v>
      </c>
      <c r="G64" s="89">
        <f>ROUND(('Grille tarifaire HT'!$AA$7+'Grille tarifaire TTC'!$O$17)*(1+'Grille tarifaire TTC'!$C$22),2)</f>
        <v>298.10000000000002</v>
      </c>
      <c r="L64" s="92" t="s">
        <v>62</v>
      </c>
      <c r="M64" s="94">
        <f>D64</f>
        <v>82.94</v>
      </c>
      <c r="N64" s="94">
        <f t="shared" ref="N64" si="45">E64</f>
        <v>100.68</v>
      </c>
      <c r="O64" s="94">
        <f t="shared" ref="O64" si="46">F64</f>
        <v>240.02999999999997</v>
      </c>
      <c r="P64" s="94">
        <f t="shared" ref="P64" si="47">G64</f>
        <v>298.10000000000002</v>
      </c>
    </row>
    <row r="65" spans="2:16" ht="20.149999999999999" customHeight="1" thickBot="1" x14ac:dyDescent="0.4">
      <c r="B65" s="156"/>
      <c r="C65" s="47" t="s">
        <v>42</v>
      </c>
      <c r="D65" s="82">
        <f>'Grille tarifaire HT'!AB6</f>
        <v>133.6075463991273</v>
      </c>
      <c r="E65" s="82">
        <f>('Grille tarifaire HT'!$AB$6+'Grille tarifaire TTC'!$C$24)*(1+'Grille tarifaire TTC'!$C$23)</f>
        <v>179.97305567895276</v>
      </c>
      <c r="F65" s="55">
        <f>+'Grille tarifaire HT'!AB7</f>
        <v>62.353896915506596</v>
      </c>
      <c r="G65" s="83">
        <f>('Grille tarifaire HT'!$AB$7+'Grille tarifaire TTC'!$C$24)*(1+'Grille tarifaire TTC'!$C$23)</f>
        <v>94.468676298607917</v>
      </c>
      <c r="L65" s="93" t="s">
        <v>77</v>
      </c>
      <c r="M65" s="95">
        <f>ROUND(D65/1000,5)</f>
        <v>0.13361000000000001</v>
      </c>
      <c r="N65" s="95">
        <f t="shared" ref="N65:P65" si="48">ROUND(E65/1000,5)</f>
        <v>0.17996999999999999</v>
      </c>
      <c r="O65" s="95">
        <f t="shared" si="48"/>
        <v>6.2350000000000003E-2</v>
      </c>
      <c r="P65" s="95">
        <f t="shared" si="48"/>
        <v>9.4469999999999998E-2</v>
      </c>
    </row>
    <row r="66" spans="2:16" ht="20.149999999999999" customHeight="1" thickBot="1" x14ac:dyDescent="0.4">
      <c r="B66" s="100"/>
      <c r="D66" s="11"/>
      <c r="E66" s="11"/>
      <c r="F66" s="11"/>
      <c r="G66" s="11"/>
    </row>
    <row r="67" spans="2:16" ht="20.149999999999999" customHeight="1" thickBot="1" x14ac:dyDescent="0.4">
      <c r="B67" s="100"/>
      <c r="D67" s="11"/>
      <c r="E67" s="11"/>
      <c r="F67" s="11"/>
      <c r="G67" s="11"/>
      <c r="L67" s="91"/>
      <c r="M67" s="153" t="s">
        <v>20</v>
      </c>
      <c r="N67" s="153"/>
      <c r="O67" s="153" t="s">
        <v>17</v>
      </c>
      <c r="P67" s="153"/>
    </row>
    <row r="68" spans="2:16" ht="20.149999999999999" customHeight="1" thickBot="1" x14ac:dyDescent="0.4">
      <c r="B68" s="100"/>
      <c r="D68" s="11"/>
      <c r="E68" s="11"/>
      <c r="F68" s="11"/>
      <c r="G68" s="11"/>
      <c r="L68" s="96"/>
      <c r="M68" s="79" t="s">
        <v>74</v>
      </c>
      <c r="N68" s="79" t="s">
        <v>75</v>
      </c>
      <c r="O68" s="79" t="s">
        <v>74</v>
      </c>
      <c r="P68" s="79" t="s">
        <v>75</v>
      </c>
    </row>
    <row r="69" spans="2:16" ht="20.149999999999999" customHeight="1" thickBot="1" x14ac:dyDescent="0.4">
      <c r="B69" s="156" t="s">
        <v>55</v>
      </c>
      <c r="C69" s="26" t="s">
        <v>62</v>
      </c>
      <c r="D69" s="88">
        <f>'Grille tarifaire HT'!AC6</f>
        <v>55.79999999999999</v>
      </c>
      <c r="E69" s="85">
        <f>ROUND(('Grille tarifaire HT'!$AC$6+'Grille tarifaire TTC'!$P$16)*(1+'Grille tarifaire TTC'!$C$22),2)</f>
        <v>72.05</v>
      </c>
      <c r="F69" s="82">
        <f>+'Grille tarifaire HT'!AC7</f>
        <v>195.71999999999997</v>
      </c>
      <c r="G69" s="89">
        <f>ROUND(('Grille tarifaire HT'!$AC$7+'Grille tarifaire TTC'!$P$17)*(1+'Grille tarifaire TTC'!$C$22),2)</f>
        <v>251.36</v>
      </c>
      <c r="L69" s="92" t="s">
        <v>62</v>
      </c>
      <c r="M69" s="94">
        <f>D69</f>
        <v>55.79999999999999</v>
      </c>
      <c r="N69" s="94">
        <f t="shared" ref="N69" si="49">E69</f>
        <v>72.05</v>
      </c>
      <c r="O69" s="94">
        <f t="shared" ref="O69" si="50">F69</f>
        <v>195.71999999999997</v>
      </c>
      <c r="P69" s="94">
        <f t="shared" ref="P69" si="51">G69</f>
        <v>251.36</v>
      </c>
    </row>
    <row r="70" spans="2:16" ht="20.149999999999999" customHeight="1" thickBot="1" x14ac:dyDescent="0.4">
      <c r="B70" s="156"/>
      <c r="C70" s="47" t="s">
        <v>42</v>
      </c>
      <c r="D70" s="82">
        <f>'Grille tarifaire HT'!AD6</f>
        <v>158.90531865648481</v>
      </c>
      <c r="E70" s="82">
        <f>('Grille tarifaire HT'!$AD$6+'Grille tarifaire TTC'!$C$24)*(1+'Grille tarifaire TTC'!$C$23)</f>
        <v>210.33038238778178</v>
      </c>
      <c r="F70" s="55">
        <f>+'Grille tarifaire HT'!AD7</f>
        <v>73.125174717416158</v>
      </c>
      <c r="G70" s="83">
        <f>('Grille tarifaire HT'!$AD$7+'Grille tarifaire TTC'!$C$24)*(1+'Grille tarifaire TTC'!$C$23)</f>
        <v>107.39420966089938</v>
      </c>
      <c r="L70" s="93" t="s">
        <v>77</v>
      </c>
      <c r="M70" s="95">
        <f>ROUND(D70/1000,5)</f>
        <v>0.15891</v>
      </c>
      <c r="N70" s="95">
        <f t="shared" ref="N70:P70" si="52">ROUND(E70/1000,5)</f>
        <v>0.21032999999999999</v>
      </c>
      <c r="O70" s="95">
        <f t="shared" si="52"/>
        <v>7.3130000000000001E-2</v>
      </c>
      <c r="P70" s="95">
        <f t="shared" si="52"/>
        <v>0.10739</v>
      </c>
    </row>
    <row r="71" spans="2:16" ht="20.149999999999999" customHeight="1" thickBot="1" x14ac:dyDescent="0.4">
      <c r="B71" s="100"/>
      <c r="D71" s="11"/>
      <c r="E71" s="11"/>
      <c r="F71" s="11"/>
      <c r="G71" s="11"/>
    </row>
    <row r="72" spans="2:16" ht="20.149999999999999" customHeight="1" thickBot="1" x14ac:dyDescent="0.4">
      <c r="B72" s="100"/>
      <c r="D72" s="11"/>
      <c r="E72" s="11"/>
      <c r="F72" s="11"/>
      <c r="G72" s="11"/>
      <c r="L72" s="91"/>
      <c r="M72" s="153" t="s">
        <v>20</v>
      </c>
      <c r="N72" s="153"/>
      <c r="O72" s="153" t="s">
        <v>17</v>
      </c>
      <c r="P72" s="153"/>
    </row>
    <row r="73" spans="2:16" ht="20.149999999999999" customHeight="1" thickBot="1" x14ac:dyDescent="0.4">
      <c r="B73" s="100"/>
      <c r="D73" s="11"/>
      <c r="E73" s="11"/>
      <c r="F73" s="11"/>
      <c r="G73" s="11"/>
      <c r="L73" s="96"/>
      <c r="M73" s="79" t="s">
        <v>74</v>
      </c>
      <c r="N73" s="79" t="s">
        <v>75</v>
      </c>
      <c r="O73" s="79" t="s">
        <v>74</v>
      </c>
      <c r="P73" s="79" t="s">
        <v>75</v>
      </c>
    </row>
    <row r="74" spans="2:16" ht="20.149999999999999" customHeight="1" thickBot="1" x14ac:dyDescent="0.4">
      <c r="B74" s="157" t="s">
        <v>44</v>
      </c>
      <c r="C74" s="26" t="s">
        <v>62</v>
      </c>
      <c r="D74" s="88">
        <f>'Grille tarifaire HT'!AE6</f>
        <v>87.639999999999986</v>
      </c>
      <c r="E74" s="85">
        <f>ROUND(('Grille tarifaire HT'!$AE$6+'Grille tarifaire TTC'!$Q$16)*(1+'Grille tarifaire TTC'!$C$22),2)</f>
        <v>105.64</v>
      </c>
      <c r="F74" s="82">
        <f>+'Grille tarifaire HT'!AE7</f>
        <v>251.23999999999998</v>
      </c>
      <c r="G74" s="89">
        <f>ROUND(('Grille tarifaire HT'!$AE$7+'Grille tarifaire TTC'!$Q$17)*(1+'Grille tarifaire TTC'!$C$22),2)</f>
        <v>309.93</v>
      </c>
      <c r="L74" s="92" t="s">
        <v>62</v>
      </c>
      <c r="M74" s="94">
        <f>D74</f>
        <v>87.639999999999986</v>
      </c>
      <c r="N74" s="94">
        <f t="shared" ref="N74" si="53">E74</f>
        <v>105.64</v>
      </c>
      <c r="O74" s="94">
        <f t="shared" ref="O74" si="54">F74</f>
        <v>251.23999999999998</v>
      </c>
      <c r="P74" s="94">
        <f t="shared" ref="P74" si="55">G74</f>
        <v>309.93</v>
      </c>
    </row>
    <row r="75" spans="2:16" ht="20.149999999999999" customHeight="1" thickBot="1" x14ac:dyDescent="0.4">
      <c r="B75" s="157"/>
      <c r="C75" s="47" t="s">
        <v>42</v>
      </c>
      <c r="D75" s="82">
        <f>'Grille tarifaire HT'!AF6</f>
        <v>129.18712341688132</v>
      </c>
      <c r="E75" s="82">
        <f>('Grille tarifaire HT'!$AF$6+'Grille tarifaire TTC'!$C$24)*(1+'Grille tarifaire TTC'!$C$23)</f>
        <v>174.6685481002576</v>
      </c>
      <c r="F75" s="55">
        <f>+'Grille tarifaire HT'!AF7</f>
        <v>59.924174020366607</v>
      </c>
      <c r="G75" s="83">
        <f>('Grille tarifaire HT'!$AF$7+'Grille tarifaire TTC'!$C$24)*(1+'Grille tarifaire TTC'!$C$23)</f>
        <v>91.553008824439914</v>
      </c>
      <c r="L75" s="93" t="s">
        <v>77</v>
      </c>
      <c r="M75" s="95">
        <f>ROUND(D75/1000,5)</f>
        <v>0.12919</v>
      </c>
      <c r="N75" s="95">
        <f t="shared" ref="N75:P75" si="56">ROUND(E75/1000,5)</f>
        <v>0.17466999999999999</v>
      </c>
      <c r="O75" s="95">
        <f t="shared" si="56"/>
        <v>5.9920000000000001E-2</v>
      </c>
      <c r="P75" s="95">
        <f t="shared" si="56"/>
        <v>9.1550000000000006E-2</v>
      </c>
    </row>
    <row r="76" spans="2:16" ht="20.149999999999999" customHeight="1" thickBot="1" x14ac:dyDescent="0.4">
      <c r="B76" s="101"/>
      <c r="D76" s="11"/>
      <c r="E76" s="11"/>
      <c r="F76" s="11"/>
      <c r="G76" s="11"/>
    </row>
    <row r="77" spans="2:16" ht="20.149999999999999" customHeight="1" thickBot="1" x14ac:dyDescent="0.4">
      <c r="B77" s="101"/>
      <c r="D77" s="11"/>
      <c r="E77" s="11"/>
      <c r="F77" s="11"/>
      <c r="G77" s="11"/>
      <c r="L77" s="91"/>
      <c r="M77" s="153" t="s">
        <v>20</v>
      </c>
      <c r="N77" s="153"/>
      <c r="O77" s="153" t="s">
        <v>17</v>
      </c>
      <c r="P77" s="153"/>
    </row>
    <row r="78" spans="2:16" ht="20.149999999999999" customHeight="1" thickBot="1" x14ac:dyDescent="0.4">
      <c r="B78" s="101"/>
      <c r="D78" s="11"/>
      <c r="E78" s="11"/>
      <c r="F78" s="11"/>
      <c r="G78" s="11"/>
      <c r="L78" s="96"/>
      <c r="M78" s="79" t="s">
        <v>74</v>
      </c>
      <c r="N78" s="79" t="s">
        <v>75</v>
      </c>
      <c r="O78" s="79" t="s">
        <v>74</v>
      </c>
      <c r="P78" s="79" t="s">
        <v>75</v>
      </c>
    </row>
    <row r="79" spans="2:16" ht="20.149999999999999" customHeight="1" thickBot="1" x14ac:dyDescent="0.4">
      <c r="B79" s="156" t="s">
        <v>56</v>
      </c>
      <c r="C79" s="26" t="s">
        <v>62</v>
      </c>
      <c r="D79" s="88">
        <f>'Grille tarifaire HT'!AG6</f>
        <v>75.139999999999986</v>
      </c>
      <c r="E79" s="85">
        <f>ROUND(('Grille tarifaire HT'!$AG$6+'Grille tarifaire TTC'!$R$16)*(1+'Grille tarifaire TTC'!$C$22),2)</f>
        <v>92.46</v>
      </c>
      <c r="F79" s="82">
        <f>+'Grille tarifaire HT'!AG7</f>
        <v>249.73999999999998</v>
      </c>
      <c r="G79" s="89">
        <f>ROUND(('Grille tarifaire HT'!$AG$7+'Grille tarifaire TTC'!$R$17)*(1+'Grille tarifaire TTC'!$C$22),2)</f>
        <v>308.35000000000002</v>
      </c>
      <c r="L79" s="92" t="s">
        <v>62</v>
      </c>
      <c r="M79" s="94">
        <f>D79</f>
        <v>75.139999999999986</v>
      </c>
      <c r="N79" s="94">
        <f t="shared" ref="N79" si="57">E79</f>
        <v>92.46</v>
      </c>
      <c r="O79" s="94">
        <f t="shared" ref="O79" si="58">F79</f>
        <v>249.73999999999998</v>
      </c>
      <c r="P79" s="94">
        <f t="shared" ref="P79" si="59">G79</f>
        <v>308.35000000000002</v>
      </c>
    </row>
    <row r="80" spans="2:16" ht="20.149999999999999" customHeight="1" thickBot="1" x14ac:dyDescent="0.4">
      <c r="B80" s="156"/>
      <c r="C80" s="47" t="s">
        <v>42</v>
      </c>
      <c r="D80" s="82">
        <f>'Grille tarifaire HT'!AH6</f>
        <v>140.4417855099646</v>
      </c>
      <c r="E80" s="82">
        <f>('Grille tarifaire HT'!$AH$6+'Grille tarifaire TTC'!$C$24)*(1+'Grille tarifaire TTC'!$C$23)</f>
        <v>188.17414261195754</v>
      </c>
      <c r="F80" s="55">
        <f>+'Grille tarifaire HT'!AH7</f>
        <v>62.992759598126938</v>
      </c>
      <c r="G80" s="83">
        <f>('Grille tarifaire HT'!$AH$7+'Grille tarifaire TTC'!$C$24)*(1+'Grille tarifaire TTC'!$C$23)</f>
        <v>95.235311517752308</v>
      </c>
      <c r="L80" s="93" t="s">
        <v>77</v>
      </c>
      <c r="M80" s="95">
        <f>ROUND(D80/1000,5)</f>
        <v>0.14044000000000001</v>
      </c>
      <c r="N80" s="95">
        <f t="shared" ref="N80:P80" si="60">ROUND(E80/1000,5)</f>
        <v>0.18817</v>
      </c>
      <c r="O80" s="95">
        <f t="shared" si="60"/>
        <v>6.2990000000000004E-2</v>
      </c>
      <c r="P80" s="95">
        <f t="shared" si="60"/>
        <v>9.5240000000000005E-2</v>
      </c>
    </row>
    <row r="81" spans="2:16" ht="20.149999999999999" customHeight="1" thickBot="1" x14ac:dyDescent="0.4">
      <c r="B81" s="100"/>
      <c r="D81" s="11"/>
      <c r="E81" s="11"/>
      <c r="F81" s="11"/>
      <c r="G81" s="11"/>
    </row>
    <row r="82" spans="2:16" ht="20.149999999999999" customHeight="1" thickBot="1" x14ac:dyDescent="0.4">
      <c r="B82" s="100"/>
      <c r="D82" s="11"/>
      <c r="E82" s="11"/>
      <c r="F82" s="11"/>
      <c r="G82" s="11"/>
      <c r="L82" s="91"/>
      <c r="M82" s="153" t="s">
        <v>20</v>
      </c>
      <c r="N82" s="153"/>
      <c r="O82" s="153" t="s">
        <v>17</v>
      </c>
      <c r="P82" s="153"/>
    </row>
    <row r="83" spans="2:16" ht="20.149999999999999" customHeight="1" thickBot="1" x14ac:dyDescent="0.4">
      <c r="B83" s="100"/>
      <c r="D83" s="11"/>
      <c r="E83" s="11"/>
      <c r="F83" s="11"/>
      <c r="G83" s="11"/>
      <c r="L83" s="96"/>
      <c r="M83" s="79" t="s">
        <v>74</v>
      </c>
      <c r="N83" s="79" t="s">
        <v>75</v>
      </c>
      <c r="O83" s="79" t="s">
        <v>74</v>
      </c>
      <c r="P83" s="79" t="s">
        <v>75</v>
      </c>
    </row>
    <row r="84" spans="2:16" ht="20.149999999999999" customHeight="1" thickBot="1" x14ac:dyDescent="0.4">
      <c r="B84" s="156" t="s">
        <v>45</v>
      </c>
      <c r="C84" s="26" t="s">
        <v>62</v>
      </c>
      <c r="D84" s="88">
        <f>'Grille tarifaire HT'!AI6</f>
        <v>98.639999999999986</v>
      </c>
      <c r="E84" s="85">
        <f>ROUND(('Grille tarifaire HT'!$AI$6+'Grille tarifaire TTC'!$S$16)*(1+'Grille tarifaire TTC'!$C$22),2)</f>
        <v>117.25</v>
      </c>
      <c r="F84" s="82">
        <f>+'Grille tarifaire HT'!AI7</f>
        <v>330.24</v>
      </c>
      <c r="G84" s="89">
        <f>ROUND(('Grille tarifaire HT'!$AI$7+'Grille tarifaire TTC'!$S$17)*(1+'Grille tarifaire TTC'!$C$22),2)</f>
        <v>393.27</v>
      </c>
      <c r="L84" s="92" t="s">
        <v>62</v>
      </c>
      <c r="M84" s="94">
        <f>D84</f>
        <v>98.639999999999986</v>
      </c>
      <c r="N84" s="94">
        <f t="shared" ref="N84" si="61">E84</f>
        <v>117.25</v>
      </c>
      <c r="O84" s="94">
        <f t="shared" ref="O84" si="62">F84</f>
        <v>330.24</v>
      </c>
      <c r="P84" s="94">
        <f t="shared" ref="P84" si="63">G84</f>
        <v>393.27</v>
      </c>
    </row>
    <row r="85" spans="2:16" ht="20.149999999999999" customHeight="1" thickBot="1" x14ac:dyDescent="0.4">
      <c r="B85" s="156"/>
      <c r="C85" s="47" t="s">
        <v>42</v>
      </c>
      <c r="D85" s="82">
        <f>'Grille tarifaire HT'!AJ6</f>
        <v>124.377784943214</v>
      </c>
      <c r="E85" s="82">
        <f>('Grille tarifaire HT'!$AJ$6+'Grille tarifaire TTC'!$C$24)*(1+'Grille tarifaire TTC'!$C$23)</f>
        <v>168.89734193185677</v>
      </c>
      <c r="F85" s="55">
        <f>+'Grille tarifaire HT'!AJ7</f>
        <v>62.49291483903523</v>
      </c>
      <c r="G85" s="83">
        <f>('Grille tarifaire HT'!$AJ$7+'Grille tarifaire TTC'!$C$24)*(1+'Grille tarifaire TTC'!$C$23)</f>
        <v>94.635497806842267</v>
      </c>
      <c r="L85" s="93" t="s">
        <v>77</v>
      </c>
      <c r="M85" s="95">
        <f>ROUND(D85/1000,5)</f>
        <v>0.12438</v>
      </c>
      <c r="N85" s="95">
        <f t="shared" ref="N85:P85" si="64">ROUND(E85/1000,5)</f>
        <v>0.16889999999999999</v>
      </c>
      <c r="O85" s="95">
        <f t="shared" si="64"/>
        <v>6.2489999999999997E-2</v>
      </c>
      <c r="P85" s="95">
        <f t="shared" si="64"/>
        <v>9.4640000000000002E-2</v>
      </c>
    </row>
    <row r="86" spans="2:16" ht="20.149999999999999" customHeight="1" thickBot="1" x14ac:dyDescent="0.4">
      <c r="B86" s="100"/>
      <c r="D86" s="11"/>
      <c r="E86" s="11"/>
      <c r="F86" s="11"/>
      <c r="G86" s="11"/>
    </row>
    <row r="87" spans="2:16" ht="20.149999999999999" customHeight="1" thickBot="1" x14ac:dyDescent="0.4">
      <c r="B87" s="100"/>
      <c r="D87" s="11"/>
      <c r="E87" s="11"/>
      <c r="F87" s="11"/>
      <c r="G87" s="11"/>
      <c r="L87" s="91"/>
      <c r="M87" s="153" t="s">
        <v>20</v>
      </c>
      <c r="N87" s="153"/>
      <c r="O87" s="153" t="s">
        <v>17</v>
      </c>
      <c r="P87" s="153"/>
    </row>
    <row r="88" spans="2:16" ht="20.149999999999999" customHeight="1" thickBot="1" x14ac:dyDescent="0.4">
      <c r="B88" s="100"/>
      <c r="D88" s="11"/>
      <c r="E88" s="11"/>
      <c r="F88" s="11"/>
      <c r="G88" s="11"/>
      <c r="L88" s="96"/>
      <c r="M88" s="79" t="s">
        <v>74</v>
      </c>
      <c r="N88" s="79" t="s">
        <v>75</v>
      </c>
      <c r="O88" s="79" t="s">
        <v>74</v>
      </c>
      <c r="P88" s="79" t="s">
        <v>75</v>
      </c>
    </row>
    <row r="89" spans="2:16" ht="20.149999999999999" customHeight="1" thickBot="1" x14ac:dyDescent="0.4">
      <c r="B89" s="156" t="s">
        <v>46</v>
      </c>
      <c r="C89" s="26" t="s">
        <v>62</v>
      </c>
      <c r="D89" s="88">
        <f>'Grille tarifaire HT'!AK6</f>
        <v>110.63999999999999</v>
      </c>
      <c r="E89" s="85">
        <f>ROUND(('Grille tarifaire HT'!$AK$6+'Grille tarifaire TTC'!$T$16)*(1+'Grille tarifaire TTC'!$C$22),2)</f>
        <v>129.91</v>
      </c>
      <c r="F89" s="82">
        <f>+'Grille tarifaire HT'!AK7</f>
        <v>381.24</v>
      </c>
      <c r="G89" s="89">
        <f>ROUND(('Grille tarifaire HT'!$AK$7+'Grille tarifaire TTC'!$T$17)*(1+'Grille tarifaire TTC'!$C$22),2)</f>
        <v>447.08</v>
      </c>
      <c r="L89" s="92" t="s">
        <v>62</v>
      </c>
      <c r="M89" s="94">
        <f>D89</f>
        <v>110.63999999999999</v>
      </c>
      <c r="N89" s="94">
        <f t="shared" ref="N89" si="65">E89</f>
        <v>129.91</v>
      </c>
      <c r="O89" s="94">
        <f t="shared" ref="O89" si="66">F89</f>
        <v>381.24</v>
      </c>
      <c r="P89" s="94">
        <f t="shared" ref="P89" si="67">G89</f>
        <v>447.08</v>
      </c>
    </row>
    <row r="90" spans="2:16" ht="20.149999999999999" customHeight="1" thickBot="1" x14ac:dyDescent="0.4">
      <c r="B90" s="156"/>
      <c r="C90" s="47" t="s">
        <v>42</v>
      </c>
      <c r="D90" s="82">
        <f>'Grille tarifaire HT'!AL6</f>
        <v>115.95753121871114</v>
      </c>
      <c r="E90" s="82">
        <f>('Grille tarifaire HT'!$AL$6+'Grille tarifaire TTC'!$C$24)*(1+'Grille tarifaire TTC'!$C$23)</f>
        <v>158.79303746245336</v>
      </c>
      <c r="F90" s="55">
        <f>+'Grille tarifaire HT'!AL7</f>
        <v>60.304831229826824</v>
      </c>
      <c r="G90" s="83">
        <f>('Grille tarifaire HT'!$AL$7+'Grille tarifaire TTC'!$C$24)*(1+'Grille tarifaire TTC'!$C$23)</f>
        <v>92.009797475792183</v>
      </c>
      <c r="L90" s="93" t="s">
        <v>77</v>
      </c>
      <c r="M90" s="95">
        <f>ROUND(D90/1000,5)</f>
        <v>0.11595999999999999</v>
      </c>
      <c r="N90" s="95">
        <f t="shared" ref="N90:P90" si="68">ROUND(E90/1000,5)</f>
        <v>0.15878999999999999</v>
      </c>
      <c r="O90" s="95">
        <f t="shared" si="68"/>
        <v>6.0299999999999999E-2</v>
      </c>
      <c r="P90" s="95">
        <f t="shared" si="68"/>
        <v>9.2009999999999995E-2</v>
      </c>
    </row>
    <row r="91" spans="2:16" ht="20.149999999999999" customHeight="1" thickBot="1" x14ac:dyDescent="0.4">
      <c r="B91" s="100"/>
      <c r="D91" s="11"/>
      <c r="E91" s="11"/>
      <c r="F91" s="11"/>
      <c r="G91" s="11"/>
    </row>
    <row r="92" spans="2:16" ht="20.149999999999999" customHeight="1" thickBot="1" x14ac:dyDescent="0.4">
      <c r="B92" s="100"/>
      <c r="D92" s="11"/>
      <c r="E92" s="11"/>
      <c r="F92" s="11"/>
      <c r="G92" s="11"/>
      <c r="L92" s="91"/>
      <c r="M92" s="153" t="s">
        <v>20</v>
      </c>
      <c r="N92" s="153"/>
      <c r="O92" s="153" t="s">
        <v>17</v>
      </c>
      <c r="P92" s="153"/>
    </row>
    <row r="93" spans="2:16" ht="20.149999999999999" customHeight="1" thickBot="1" x14ac:dyDescent="0.4">
      <c r="B93" s="100"/>
      <c r="D93" s="11"/>
      <c r="E93" s="11"/>
      <c r="F93" s="11"/>
      <c r="G93" s="11"/>
      <c r="L93" s="96"/>
      <c r="M93" s="79" t="s">
        <v>74</v>
      </c>
      <c r="N93" s="79" t="s">
        <v>75</v>
      </c>
      <c r="O93" s="79" t="s">
        <v>74</v>
      </c>
      <c r="P93" s="79" t="s">
        <v>75</v>
      </c>
    </row>
    <row r="94" spans="2:16" ht="20.149999999999999" customHeight="1" thickBot="1" x14ac:dyDescent="0.4">
      <c r="B94" s="156" t="s">
        <v>47</v>
      </c>
      <c r="C94" s="26" t="s">
        <v>62</v>
      </c>
      <c r="D94" s="88">
        <f>'Grille tarifaire HT'!AM6</f>
        <v>87.84</v>
      </c>
      <c r="E94" s="85">
        <f>ROUND(('Grille tarifaire HT'!$AM$6+'Grille tarifaire TTC'!$U$16)*(1+'Grille tarifaire TTC'!$C$22),2)</f>
        <v>105.85</v>
      </c>
      <c r="F94" s="82">
        <f>+'Grille tarifaire HT'!AM7</f>
        <v>284.03999999999996</v>
      </c>
      <c r="G94" s="89">
        <f>ROUND(('Grille tarifaire HT'!$AM$7+'Grille tarifaire TTC'!$U$17)*(1+'Grille tarifaire TTC'!$C$22),2)</f>
        <v>344.53</v>
      </c>
      <c r="L94" s="92" t="s">
        <v>62</v>
      </c>
      <c r="M94" s="94">
        <f>D94</f>
        <v>87.84</v>
      </c>
      <c r="N94" s="94">
        <f t="shared" ref="N94" si="69">E94</f>
        <v>105.85</v>
      </c>
      <c r="O94" s="94">
        <f t="shared" ref="O94" si="70">F94</f>
        <v>284.03999999999996</v>
      </c>
      <c r="P94" s="94">
        <f t="shared" ref="P94" si="71">G94</f>
        <v>344.53</v>
      </c>
    </row>
    <row r="95" spans="2:16" ht="20.149999999999999" customHeight="1" thickBot="1" x14ac:dyDescent="0.4">
      <c r="B95" s="156"/>
      <c r="C95" s="47" t="s">
        <v>42</v>
      </c>
      <c r="D95" s="82">
        <f>'Grille tarifaire HT'!AN6</f>
        <v>129.64723131415116</v>
      </c>
      <c r="E95" s="82">
        <f>('Grille tarifaire HT'!$AN$6+'Grille tarifaire TTC'!$C$24)*(1+'Grille tarifaire TTC'!$C$23)</f>
        <v>175.22067757698139</v>
      </c>
      <c r="F95" s="55">
        <f>+'Grille tarifaire HT'!AN7</f>
        <v>58.738507377001625</v>
      </c>
      <c r="G95" s="83">
        <f>('Grille tarifaire HT'!$AN$7+'Grille tarifaire TTC'!$C$24)*(1+'Grille tarifaire TTC'!$C$23)</f>
        <v>90.130208852401935</v>
      </c>
      <c r="L95" s="93" t="s">
        <v>77</v>
      </c>
      <c r="M95" s="95">
        <f>ROUND(D95/1000,5)</f>
        <v>0.12964999999999999</v>
      </c>
      <c r="N95" s="95">
        <f t="shared" ref="N95:P95" si="72">ROUND(E95/1000,5)</f>
        <v>0.17521999999999999</v>
      </c>
      <c r="O95" s="95">
        <f t="shared" si="72"/>
        <v>5.8740000000000001E-2</v>
      </c>
      <c r="P95" s="95">
        <f t="shared" si="72"/>
        <v>9.0130000000000002E-2</v>
      </c>
    </row>
    <row r="96" spans="2:16" ht="20.149999999999999" customHeight="1" thickBot="1" x14ac:dyDescent="0.4">
      <c r="B96" s="100"/>
      <c r="D96" s="11"/>
      <c r="E96" s="11"/>
      <c r="F96" s="11"/>
      <c r="G96" s="11"/>
    </row>
    <row r="97" spans="2:16" ht="20.149999999999999" customHeight="1" thickBot="1" x14ac:dyDescent="0.4">
      <c r="B97" s="100"/>
      <c r="D97" s="11"/>
      <c r="E97" s="11"/>
      <c r="F97" s="11"/>
      <c r="G97" s="11"/>
      <c r="L97" s="91"/>
      <c r="M97" s="153" t="s">
        <v>20</v>
      </c>
      <c r="N97" s="153"/>
      <c r="O97" s="153" t="s">
        <v>17</v>
      </c>
      <c r="P97" s="153"/>
    </row>
    <row r="98" spans="2:16" ht="20.149999999999999" customHeight="1" thickBot="1" x14ac:dyDescent="0.4">
      <c r="B98" s="100"/>
      <c r="D98" s="11"/>
      <c r="E98" s="11"/>
      <c r="F98" s="11"/>
      <c r="G98" s="11"/>
      <c r="L98" s="96"/>
      <c r="M98" s="79" t="s">
        <v>74</v>
      </c>
      <c r="N98" s="79" t="s">
        <v>75</v>
      </c>
      <c r="O98" s="79" t="s">
        <v>74</v>
      </c>
      <c r="P98" s="79" t="s">
        <v>75</v>
      </c>
    </row>
    <row r="99" spans="2:16" ht="20.149999999999999" customHeight="1" thickBot="1" x14ac:dyDescent="0.4">
      <c r="B99" s="156" t="s">
        <v>63</v>
      </c>
      <c r="C99" s="26" t="s">
        <v>62</v>
      </c>
      <c r="D99" s="88">
        <f>'Grille tarifaire HT'!AO6</f>
        <v>99.639999999999986</v>
      </c>
      <c r="E99" s="85">
        <f>ROUND(('Grille tarifaire HT'!$AO$6+'Grille tarifaire TTC'!$V$16)*(1+'Grille tarifaire TTC'!$C$22),2)</f>
        <v>118.3</v>
      </c>
      <c r="F99" s="82">
        <f>+'Grille tarifaire HT'!AO7</f>
        <v>219.23999999999998</v>
      </c>
      <c r="G99" s="89">
        <f>ROUND(('Grille tarifaire HT'!$AO$7+'Grille tarifaire TTC'!$V$17)*(1+'Grille tarifaire TTC'!$C$22),2)</f>
        <v>276.17</v>
      </c>
      <c r="L99" s="92" t="s">
        <v>62</v>
      </c>
      <c r="M99" s="94">
        <f>D99</f>
        <v>99.639999999999986</v>
      </c>
      <c r="N99" s="94">
        <f t="shared" ref="N99" si="73">E99</f>
        <v>118.3</v>
      </c>
      <c r="O99" s="94">
        <f t="shared" ref="O99" si="74">F99</f>
        <v>219.23999999999998</v>
      </c>
      <c r="P99" s="94">
        <f t="shared" ref="P99" si="75">G99</f>
        <v>276.17</v>
      </c>
    </row>
    <row r="100" spans="2:16" ht="20.149999999999999" customHeight="1" thickBot="1" x14ac:dyDescent="0.4">
      <c r="B100" s="156"/>
      <c r="C100" s="47" t="s">
        <v>42</v>
      </c>
      <c r="D100" s="82">
        <f>'Grille tarifaire HT'!AP6</f>
        <v>121.601970904434</v>
      </c>
      <c r="E100" s="82">
        <f>('Grille tarifaire HT'!$AP$6+'Grille tarifaire TTC'!$C$24)*(1+'Grille tarifaire TTC'!$C$23)</f>
        <v>165.56636508532077</v>
      </c>
      <c r="F100" s="55">
        <f>+'Grille tarifaire HT'!AP7</f>
        <v>66.287100858154446</v>
      </c>
      <c r="G100" s="83">
        <f>('Grille tarifaire HT'!$AP$7+'Grille tarifaire TTC'!$C$24)*(1+'Grille tarifaire TTC'!$C$23)</f>
        <v>99.188521029785335</v>
      </c>
      <c r="L100" s="93" t="s">
        <v>77</v>
      </c>
      <c r="M100" s="95">
        <f>ROUND(D100/1000,5)</f>
        <v>0.1216</v>
      </c>
      <c r="N100" s="95">
        <f t="shared" ref="N100:P100" si="76">ROUND(E100/1000,5)</f>
        <v>0.16556999999999999</v>
      </c>
      <c r="O100" s="95">
        <f t="shared" si="76"/>
        <v>6.6290000000000002E-2</v>
      </c>
      <c r="P100" s="95">
        <f t="shared" si="76"/>
        <v>9.919E-2</v>
      </c>
    </row>
    <row r="101" spans="2:16" ht="20.149999999999999" customHeight="1" thickBot="1" x14ac:dyDescent="0.4">
      <c r="B101" s="100"/>
      <c r="D101" s="11"/>
      <c r="E101" s="11"/>
      <c r="F101" s="11"/>
      <c r="G101" s="11"/>
    </row>
    <row r="102" spans="2:16" ht="20.149999999999999" customHeight="1" thickBot="1" x14ac:dyDescent="0.4">
      <c r="B102" s="100"/>
      <c r="D102" s="11"/>
      <c r="E102" s="11"/>
      <c r="F102" s="11"/>
      <c r="G102" s="11"/>
      <c r="L102" s="91"/>
      <c r="M102" s="153" t="s">
        <v>20</v>
      </c>
      <c r="N102" s="153"/>
      <c r="O102" s="153" t="s">
        <v>17</v>
      </c>
      <c r="P102" s="153"/>
    </row>
    <row r="103" spans="2:16" ht="20.149999999999999" customHeight="1" thickBot="1" x14ac:dyDescent="0.4">
      <c r="B103" s="100"/>
      <c r="D103" s="11"/>
      <c r="E103" s="11"/>
      <c r="F103" s="11"/>
      <c r="G103" s="11"/>
      <c r="L103" s="96"/>
      <c r="M103" s="79" t="s">
        <v>74</v>
      </c>
      <c r="N103" s="79" t="s">
        <v>75</v>
      </c>
      <c r="O103" s="79" t="s">
        <v>74</v>
      </c>
      <c r="P103" s="79" t="s">
        <v>75</v>
      </c>
    </row>
    <row r="104" spans="2:16" ht="20.149999999999999" customHeight="1" thickBot="1" x14ac:dyDescent="0.4">
      <c r="B104" s="156" t="s">
        <v>48</v>
      </c>
      <c r="C104" s="26" t="s">
        <v>62</v>
      </c>
      <c r="D104" s="88">
        <f>'Grille tarifaire HT'!AQ6</f>
        <v>67.889999999999986</v>
      </c>
      <c r="E104" s="85">
        <f>ROUND(('Grille tarifaire HT'!$AQ$6+'Grille tarifaire TTC'!$W$16)*(1+'Grille tarifaire TTC'!$C$22),2)</f>
        <v>84.81</v>
      </c>
      <c r="F104" s="82">
        <f>+'Grille tarifaire HT'!AQ7</f>
        <v>211.07</v>
      </c>
      <c r="G104" s="89">
        <f>ROUND(('Grille tarifaire HT'!$AQ$7+'Grille tarifaire TTC'!$W$17)*(1+'Grille tarifaire TTC'!$C$22),2)</f>
        <v>267.55</v>
      </c>
      <c r="L104" s="92" t="s">
        <v>62</v>
      </c>
      <c r="M104" s="94">
        <f>D104</f>
        <v>67.889999999999986</v>
      </c>
      <c r="N104" s="94">
        <f t="shared" ref="N104" si="77">E104</f>
        <v>84.81</v>
      </c>
      <c r="O104" s="94">
        <f t="shared" ref="O104" si="78">F104</f>
        <v>211.07</v>
      </c>
      <c r="P104" s="94">
        <f t="shared" ref="P104" si="79">G104</f>
        <v>267.55</v>
      </c>
    </row>
    <row r="105" spans="2:16" ht="20.149999999999999" customHeight="1" thickBot="1" x14ac:dyDescent="0.4">
      <c r="B105" s="156"/>
      <c r="C105" s="47" t="s">
        <v>42</v>
      </c>
      <c r="D105" s="82">
        <f>'Grille tarifaire HT'!AR6</f>
        <v>144.39030999349436</v>
      </c>
      <c r="E105" s="82">
        <f>('Grille tarifaire HT'!$AR$6+'Grille tarifaire TTC'!$C$24)*(1+'Grille tarifaire TTC'!$C$23)</f>
        <v>192.91237199219321</v>
      </c>
      <c r="F105" s="55">
        <f>+'Grille tarifaire HT'!AR7</f>
        <v>62.161280114139352</v>
      </c>
      <c r="G105" s="83">
        <f>('Grille tarifaire HT'!$AR$7+'Grille tarifaire TTC'!$C$24)*(1+'Grille tarifaire TTC'!$C$23)</f>
        <v>94.237536136967222</v>
      </c>
      <c r="L105" s="93" t="s">
        <v>77</v>
      </c>
      <c r="M105" s="95">
        <f>ROUND(D105/1000,5)</f>
        <v>0.14438999999999999</v>
      </c>
      <c r="N105" s="95">
        <f t="shared" ref="N105:P105" si="80">ROUND(E105/1000,5)</f>
        <v>0.19291</v>
      </c>
      <c r="O105" s="95">
        <f t="shared" si="80"/>
        <v>6.216E-2</v>
      </c>
      <c r="P105" s="95">
        <f t="shared" si="80"/>
        <v>9.4240000000000004E-2</v>
      </c>
    </row>
    <row r="106" spans="2:16" ht="20.149999999999999" customHeight="1" thickBot="1" x14ac:dyDescent="0.4">
      <c r="B106" s="100"/>
      <c r="D106" s="11"/>
      <c r="E106" s="11"/>
      <c r="F106" s="11"/>
      <c r="G106" s="11"/>
    </row>
    <row r="107" spans="2:16" ht="20.149999999999999" customHeight="1" thickBot="1" x14ac:dyDescent="0.4">
      <c r="B107" s="100"/>
      <c r="D107" s="11"/>
      <c r="E107" s="11"/>
      <c r="F107" s="11"/>
      <c r="G107" s="11"/>
      <c r="L107" s="91"/>
      <c r="M107" s="153" t="s">
        <v>20</v>
      </c>
      <c r="N107" s="153"/>
      <c r="O107" s="153" t="s">
        <v>17</v>
      </c>
      <c r="P107" s="153"/>
    </row>
    <row r="108" spans="2:16" ht="20.149999999999999" customHeight="1" thickBot="1" x14ac:dyDescent="0.4">
      <c r="B108" s="100"/>
      <c r="D108" s="11"/>
      <c r="E108" s="11"/>
      <c r="F108" s="11"/>
      <c r="G108" s="11"/>
      <c r="L108" s="96"/>
      <c r="M108" s="79" t="s">
        <v>74</v>
      </c>
      <c r="N108" s="79" t="s">
        <v>75</v>
      </c>
      <c r="O108" s="79" t="s">
        <v>74</v>
      </c>
      <c r="P108" s="79" t="s">
        <v>75</v>
      </c>
    </row>
    <row r="109" spans="2:16" ht="20.149999999999999" customHeight="1" thickBot="1" x14ac:dyDescent="0.4">
      <c r="B109" s="156" t="s">
        <v>79</v>
      </c>
      <c r="C109" s="26" t="s">
        <v>62</v>
      </c>
      <c r="D109" s="88">
        <f>'Grille tarifaire HT'!AS6</f>
        <v>204.08000000000004</v>
      </c>
      <c r="E109" s="85">
        <f>ROUND(('Grille tarifaire HT'!$AS$6+'Grille tarifaire TTC'!$X$16)*(1+'Grille tarifaire TTC'!$C$22),2)</f>
        <v>234.04</v>
      </c>
      <c r="F109" s="82">
        <f>+'Grille tarifaire HT'!AS7</f>
        <v>357.13599999999997</v>
      </c>
      <c r="G109" s="89">
        <f>ROUND(('Grille tarifaire HT'!$AS$7+'Grille tarifaire TTC'!$X$17)*(1+'Grille tarifaire TTC'!$C$22),2)</f>
        <v>438.63</v>
      </c>
      <c r="L109" s="92" t="s">
        <v>62</v>
      </c>
      <c r="M109" s="94">
        <f>D109</f>
        <v>204.08000000000004</v>
      </c>
      <c r="N109" s="94">
        <f t="shared" ref="N109" si="81">E109</f>
        <v>234.04</v>
      </c>
      <c r="O109" s="94">
        <f t="shared" ref="O109" si="82">F109</f>
        <v>357.13599999999997</v>
      </c>
      <c r="P109" s="94">
        <f t="shared" ref="P109" si="83">G109</f>
        <v>438.63</v>
      </c>
    </row>
    <row r="110" spans="2:16" ht="20.149999999999999" customHeight="1" thickBot="1" x14ac:dyDescent="0.4">
      <c r="B110" s="156"/>
      <c r="C110" s="47" t="s">
        <v>42</v>
      </c>
      <c r="D110" s="82">
        <f>'Grille tarifaire HT'!AT6</f>
        <v>70.958632542087415</v>
      </c>
      <c r="E110" s="82">
        <f>('Grille tarifaire HT'!$AT$6+'Grille tarifaire TTC'!$C$24)*(1+'Grille tarifaire TTC'!$C$23)</f>
        <v>104.79435905050488</v>
      </c>
      <c r="F110" s="55">
        <f>+'Grille tarifaire HT'!AT7</f>
        <v>66.06563069549567</v>
      </c>
      <c r="G110" s="83">
        <f>('Grille tarifaire HT'!$AT$7+'Grille tarifaire TTC'!$C$24)*(1+'Grille tarifaire TTC'!$C$23)</f>
        <v>98.922756834594793</v>
      </c>
      <c r="L110" s="93" t="s">
        <v>77</v>
      </c>
      <c r="M110" s="95">
        <f>ROUND(D110/1000,5)</f>
        <v>7.0959999999999995E-2</v>
      </c>
      <c r="N110" s="95">
        <f t="shared" ref="N110:P110" si="84">ROUND(E110/1000,5)</f>
        <v>0.10478999999999999</v>
      </c>
      <c r="O110" s="95">
        <f t="shared" si="84"/>
        <v>6.6070000000000004E-2</v>
      </c>
      <c r="P110" s="95">
        <f t="shared" si="84"/>
        <v>9.8919999999999994E-2</v>
      </c>
    </row>
  </sheetData>
  <mergeCells count="68">
    <mergeCell ref="B104:B105"/>
    <mergeCell ref="B109:B110"/>
    <mergeCell ref="B79:B80"/>
    <mergeCell ref="B84:B85"/>
    <mergeCell ref="B89:B90"/>
    <mergeCell ref="B94:B95"/>
    <mergeCell ref="B99:B100"/>
    <mergeCell ref="B74:B75"/>
    <mergeCell ref="B29:B30"/>
    <mergeCell ref="B34:B35"/>
    <mergeCell ref="B39:B40"/>
    <mergeCell ref="B44:B45"/>
    <mergeCell ref="B49:B50"/>
    <mergeCell ref="D2:E2"/>
    <mergeCell ref="B54:B55"/>
    <mergeCell ref="B59:B60"/>
    <mergeCell ref="B64:B65"/>
    <mergeCell ref="B69:B70"/>
    <mergeCell ref="B4:B5"/>
    <mergeCell ref="B9:B10"/>
    <mergeCell ref="B14:B15"/>
    <mergeCell ref="B19:B20"/>
    <mergeCell ref="B24:B25"/>
    <mergeCell ref="O2:P2"/>
    <mergeCell ref="M2:N2"/>
    <mergeCell ref="M22:N22"/>
    <mergeCell ref="M42:N42"/>
    <mergeCell ref="F2:G2"/>
    <mergeCell ref="M7:N7"/>
    <mergeCell ref="O7:P7"/>
    <mergeCell ref="M12:N12"/>
    <mergeCell ref="O12:P12"/>
    <mergeCell ref="M17:N17"/>
    <mergeCell ref="O17:P17"/>
    <mergeCell ref="M57:N57"/>
    <mergeCell ref="O57:P57"/>
    <mergeCell ref="O22:P22"/>
    <mergeCell ref="M27:N27"/>
    <mergeCell ref="O27:P27"/>
    <mergeCell ref="M32:N32"/>
    <mergeCell ref="O32:P32"/>
    <mergeCell ref="M37:N37"/>
    <mergeCell ref="O37:P37"/>
    <mergeCell ref="O42:P42"/>
    <mergeCell ref="M47:N47"/>
    <mergeCell ref="O47:P47"/>
    <mergeCell ref="M52:N52"/>
    <mergeCell ref="O52:P52"/>
    <mergeCell ref="M62:N62"/>
    <mergeCell ref="O62:P62"/>
    <mergeCell ref="M67:N67"/>
    <mergeCell ref="O67:P67"/>
    <mergeCell ref="M72:N72"/>
    <mergeCell ref="O72:P72"/>
    <mergeCell ref="M77:N77"/>
    <mergeCell ref="O77:P77"/>
    <mergeCell ref="M82:N82"/>
    <mergeCell ref="O82:P82"/>
    <mergeCell ref="M87:N87"/>
    <mergeCell ref="O87:P87"/>
    <mergeCell ref="M107:N107"/>
    <mergeCell ref="O107:P107"/>
    <mergeCell ref="M92:N92"/>
    <mergeCell ref="O92:P92"/>
    <mergeCell ref="M97:N97"/>
    <mergeCell ref="O97:P97"/>
    <mergeCell ref="M102:N102"/>
    <mergeCell ref="O102:P10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Présentation</vt:lpstr>
      <vt:lpstr>Consommateurs types</vt:lpstr>
      <vt:lpstr>ATRD</vt:lpstr>
      <vt:lpstr>Transport &amp; stockage</vt:lpstr>
      <vt:lpstr>Coûts commerciaux</vt:lpstr>
      <vt:lpstr>Coûts d'approvisionnement</vt:lpstr>
      <vt:lpstr>Grille tarifaire HT</vt:lpstr>
      <vt:lpstr>Grille tarifaire TTC</vt:lpstr>
      <vt:lpstr>Grilles CP</vt:lpstr>
      <vt:lpstr>'Coûts d''approvisionnement'!_ftn1</vt:lpstr>
      <vt:lpstr>ATRD!Zone_d_impression</vt:lpstr>
      <vt:lpstr>'Consommateurs types'!Zone_d_impression</vt:lpstr>
      <vt:lpstr>'Coûts commerciaux'!Zone_d_impression</vt:lpstr>
      <vt:lpstr>'Grille tarifaire HT'!Zone_d_impression</vt:lpstr>
      <vt:lpstr>'Grille tarifaire TTC'!Zone_d_impression</vt:lpstr>
      <vt:lpstr>Présentation!Zone_d_impression</vt:lpstr>
      <vt:lpstr>'Transport &amp; stockage'!Zone_d_impression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2019-07-03T13:36:44Z</dcterms:created>
  <dcterms:modified xsi:type="dcterms:W3CDTF">2024-05-13T08:27:29Z</dcterms:modified>
</cp:coreProperties>
</file>