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0" documentId="13_ncr:1_{461EF6C6-A061-4D4B-BC09-A6EA5CB035F5}" xr6:coauthVersionLast="47" xr6:coauthVersionMax="47" xr10:uidLastSave="{00000000-0000-0000-0000-000000000000}"/>
  <bookViews>
    <workbookView xWindow="-28965" yWindow="-12495" windowWidth="29130" windowHeight="15810" tabRatio="744" firstSheet="3" activeTab="10" xr2:uid="{00000000-000D-0000-FFFF-FFFF00000000}"/>
  </bookViews>
  <sheets>
    <sheet name="Présentation" sheetId="18" r:id="rId1"/>
    <sheet name="Consommateurs types" sheetId="15" r:id="rId2"/>
    <sheet name="ATRD" sheetId="19" r:id="rId3"/>
    <sheet name="Transport &amp; stockage" sheetId="3" r:id="rId4"/>
    <sheet name="Coûts commerciaux" sheetId="21" r:id="rId5"/>
    <sheet name="Coûts d'approvisionnement" sheetId="23" r:id="rId6"/>
    <sheet name="Grille tarifaire HT" sheetId="9" r:id="rId7"/>
    <sheet name="Grille tarifaire TTC" sheetId="24" r:id="rId8"/>
    <sheet name="Grilles CP" sheetId="25" r:id="rId9"/>
    <sheet name="Historique grilles" sheetId="26" r:id="rId10"/>
    <sheet name="Historique PRVG moyen" sheetId="27" r:id="rId11"/>
  </sheets>
  <definedNames>
    <definedName name="_ftn1" localSheetId="5">'Coûts d''approvisionnement'!$B$37</definedName>
    <definedName name="_xlnm.Print_Area" localSheetId="2">ATRD!$B$2:$F$4</definedName>
    <definedName name="_xlnm.Print_Area" localSheetId="1">'Consommateurs types'!$B$2:$F$23</definedName>
    <definedName name="_xlnm.Print_Area" localSheetId="4">'Coûts commerciaux'!$B$2:$M$66</definedName>
    <definedName name="_xlnm.Print_Area" localSheetId="6">'Grille tarifaire HT'!$B$2:$E$84</definedName>
    <definedName name="_xlnm.Print_Area" localSheetId="7">'Grille tarifaire TTC'!$B$2:$I$4</definedName>
    <definedName name="_xlnm.Print_Area" localSheetId="0">Présentation!$A$2:$I$26</definedName>
    <definedName name="_xlnm.Print_Area" localSheetId="3">'Transport &amp; stockage'!$B$2:$E$6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4" l="1"/>
  <c r="C7" i="24"/>
  <c r="E2" i="23" l="1"/>
  <c r="D32" i="23"/>
  <c r="C32" i="23"/>
  <c r="C31" i="23"/>
  <c r="C30" i="23" l="1"/>
  <c r="C29" i="23"/>
  <c r="C28" i="23" l="1"/>
  <c r="C17" i="24"/>
  <c r="C27" i="23"/>
  <c r="C26" i="23" l="1"/>
  <c r="C25" i="23"/>
  <c r="C24" i="23"/>
  <c r="C23" i="23"/>
  <c r="C22" i="23"/>
  <c r="C7" i="9" l="1"/>
  <c r="C6" i="9"/>
  <c r="C21" i="23"/>
  <c r="C20" i="23"/>
  <c r="C19" i="23" l="1"/>
  <c r="C18" i="23" l="1"/>
  <c r="C17" i="23"/>
  <c r="C16" i="23"/>
  <c r="C15" i="23"/>
  <c r="C14" i="23"/>
  <c r="C13" i="23"/>
  <c r="C12" i="23"/>
  <c r="C11" i="23"/>
  <c r="C10" i="23"/>
  <c r="C9" i="23"/>
  <c r="C8" i="23"/>
  <c r="C7" i="23"/>
  <c r="C15" i="9" l="1"/>
  <c r="D14" i="9"/>
  <c r="E14" i="9"/>
  <c r="C14" i="9"/>
  <c r="D15" i="9"/>
  <c r="E6" i="9"/>
  <c r="E15" i="9"/>
  <c r="F7" i="9"/>
  <c r="F6" i="9"/>
  <c r="E7" i="9"/>
  <c r="D7" i="9"/>
  <c r="D6" i="9"/>
  <c r="E6" i="25"/>
  <c r="C6" i="25" l="1"/>
  <c r="E7" i="24" l="1"/>
  <c r="C6" i="24"/>
  <c r="D6" i="25" s="1"/>
  <c r="F6" i="25"/>
  <c r="E9" i="25"/>
  <c r="C8" i="25"/>
  <c r="F7" i="25" l="1"/>
  <c r="E7" i="25"/>
  <c r="F7" i="24"/>
  <c r="F9" i="25" s="1"/>
  <c r="D6" i="24"/>
  <c r="D8" i="25" s="1"/>
  <c r="F6" i="24" l="1"/>
  <c r="D9" i="25" s="1"/>
  <c r="C9" i="25"/>
  <c r="D7" i="24"/>
  <c r="F8" i="25" s="1"/>
  <c r="E8" i="25"/>
  <c r="D7" i="25"/>
  <c r="C7" i="25"/>
</calcChain>
</file>

<file path=xl/sharedStrings.xml><?xml version="1.0" encoding="utf-8"?>
<sst xmlns="http://schemas.openxmlformats.org/spreadsheetml/2006/main" count="333" uniqueCount="72">
  <si>
    <t>Part fixe en €/an</t>
  </si>
  <si>
    <t>Description</t>
  </si>
  <si>
    <t>Acronymes utilisés</t>
  </si>
  <si>
    <t>Contact</t>
  </si>
  <si>
    <t>opendata@cre.fr</t>
  </si>
  <si>
    <t>PV en €/MWh</t>
  </si>
  <si>
    <t>Tarif GRDF</t>
  </si>
  <si>
    <t>T1</t>
  </si>
  <si>
    <t>T2</t>
  </si>
  <si>
    <t>Coûts de transport en €/MWh</t>
  </si>
  <si>
    <t>CTA</t>
  </si>
  <si>
    <t>TVA part fixe</t>
  </si>
  <si>
    <t>TVA part variable</t>
  </si>
  <si>
    <t>TICGN</t>
  </si>
  <si>
    <t>Contribution tarifaire d'acheminement</t>
  </si>
  <si>
    <t>TICGN (€/MWh)</t>
  </si>
  <si>
    <t>CTA (€/an)</t>
  </si>
  <si>
    <t>Taxe intérieure de consommation sur le gaz naturel</t>
  </si>
  <si>
    <t>Segment tarifaire</t>
  </si>
  <si>
    <t>Profil GRDF</t>
  </si>
  <si>
    <t>Consommateur</t>
  </si>
  <si>
    <t>Chauffage</t>
  </si>
  <si>
    <t>Consommateur type</t>
  </si>
  <si>
    <t>Consommation annuelle de référence (MWh/an)</t>
  </si>
  <si>
    <t>Cuisson/eau chaude</t>
  </si>
  <si>
    <t>Coûts de stockage en €/MWh</t>
  </si>
  <si>
    <t>Rémunération en €/MWh</t>
  </si>
  <si>
    <t>P012</t>
  </si>
  <si>
    <t>P011</t>
  </si>
  <si>
    <t>Minimum</t>
  </si>
  <si>
    <t>Maximum</t>
  </si>
  <si>
    <t>Moyen</t>
  </si>
  <si>
    <t>Minimum (NTR = 0)</t>
  </si>
  <si>
    <t>Moyen (NTR = 3)</t>
  </si>
  <si>
    <t>Maximum (NTR = 10)</t>
  </si>
  <si>
    <t>Fraix d'accès au marché (€/MWh)</t>
  </si>
  <si>
    <t>Brique de risque (€/MWh)</t>
  </si>
  <si>
    <t>Coûts des CEE (€/MWh)</t>
  </si>
  <si>
    <t>Coûts de commercialisation et autres</t>
  </si>
  <si>
    <t>Minimale</t>
  </si>
  <si>
    <t>Moyenne</t>
  </si>
  <si>
    <t>Maximale</t>
  </si>
  <si>
    <t>Part variable avec coûts d'approvisionnement (€/MWh)</t>
  </si>
  <si>
    <t>Coûts transport &amp; stockage</t>
  </si>
  <si>
    <t>Coûts d'approvisionnement</t>
  </si>
  <si>
    <t>Facture annuelle théorique HT avec coûts d'approvisionnement</t>
  </si>
  <si>
    <t>NB : Les coûts d'approvisionnement correspondent à la référence de coût d’approvisionnement définie par l’arrêté du 18 avril 2023 pris sur proposition de la CRE et disponible ici : https://www.cre.fr/L-energie-et-vous/reference-de-couts-d-approvisionnement-du-gaz.</t>
  </si>
  <si>
    <t>Données relatives à la construction du prix repère de vente de gaz de la  CRE</t>
  </si>
  <si>
    <t>Part fixe en €/an (*)</t>
  </si>
  <si>
    <t>Part variable avec coûts d'approvisionnement (€/MWh) (**)</t>
  </si>
  <si>
    <t>NB : Les grilles TTC sont définies par application des taxes ci-dessous aux grilles de l'onglet "Grille tarifaire HT"</t>
  </si>
  <si>
    <t>Référence de coûts d'approvisionnement (€/MWh)</t>
  </si>
  <si>
    <t>Valeur du mois en cours</t>
  </si>
  <si>
    <t>HT</t>
  </si>
  <si>
    <t>TTC</t>
  </si>
  <si>
    <t>Abonnement (€/an)</t>
  </si>
  <si>
    <t>Part variable moyenne (€/kWh)</t>
  </si>
  <si>
    <t>Part variable fourchette basse (€/kWh)</t>
  </si>
  <si>
    <t>Part variable fourchette haute (€/kWh)</t>
  </si>
  <si>
    <t>NB : Basés sur l'ATRT et coût du stockage 2024-2025. Prochaine évolution au 1er avril 2025.</t>
  </si>
  <si>
    <t>Coût commerciaux hors CEE
part fixe (€/an)</t>
  </si>
  <si>
    <t>Coût commerciaux hors CEE
part variable (€/MWh)</t>
  </si>
  <si>
    <t>Coûts de distribution : ATRD 2024-2025</t>
  </si>
  <si>
    <t>Evolution du PRVG moyen TTC (tous consommateurs confondus) depuis janvier 2024</t>
  </si>
  <si>
    <t>Date</t>
  </si>
  <si>
    <t>Grille publiée sur le site internet de la CRE</t>
  </si>
  <si>
    <t>Prix repère moyen TTC (€/MWh)</t>
  </si>
  <si>
    <t>Prix repère moyen HT (€/MWh)</t>
  </si>
  <si>
    <r>
      <t>Le fichier présenté ici a pour objectif de détailler les hypothèses de construction du prix repère de vente de gaz décrites dans la délibération de la CRE du</t>
    </r>
    <r>
      <rPr>
        <b/>
        <sz val="11"/>
        <color rgb="FFFF0000"/>
        <rFont val="Franklin Gothic Book"/>
        <family val="2"/>
      </rPr>
      <t xml:space="preserve"> </t>
    </r>
    <r>
      <rPr>
        <sz val="11"/>
        <rFont val="Franklin Gothic Book"/>
        <family val="2"/>
      </rPr>
      <t>12 avril 2023 n°2023-102</t>
    </r>
    <r>
      <rPr>
        <sz val="11"/>
        <color theme="1"/>
        <rFont val="Franklin Gothic Book"/>
        <family val="2"/>
      </rPr>
      <t xml:space="preserve"> et modifiées dans la délibération de la CRE du 23 mai 2024 n°2024-92.</t>
    </r>
  </si>
  <si>
    <t>Taxes en vigueur au 1er juillet 2024</t>
  </si>
  <si>
    <r>
      <t xml:space="preserve">Grilles tarifaires HT prix repère </t>
    </r>
    <r>
      <rPr>
        <b/>
        <sz val="16"/>
        <color rgb="FFFF0000"/>
        <rFont val="Calibri"/>
        <family val="2"/>
        <scheme val="minor"/>
      </rPr>
      <t>au 1er mai 2025</t>
    </r>
  </si>
  <si>
    <r>
      <t xml:space="preserve">Grilles tarifaires TTC prix repère </t>
    </r>
    <r>
      <rPr>
        <b/>
        <sz val="16"/>
        <color rgb="FFFF0000"/>
        <rFont val="Calibri"/>
        <family val="2"/>
        <scheme val="minor"/>
      </rPr>
      <t>au 1er mai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</si>
</sst>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0.0"/>
    <numFmt numFmtId="167" formatCode="0.0%"/>
    <numFmt numFmtId="168" formatCode="0.00000"/>
  </numFmts>
  <fonts count="30" x14ac:knownFonts="1">
    <font>
      <sz val="10"/>
      <color theme="1"/>
      <name val="Franklin Gothic Book"/>
      <family val="2"/>
    </font>
    <font>
      <sz val="10"/>
      <color theme="1"/>
      <name val="Franklin Gothic Book"/>
      <family val="2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3"/>
      <name val="Franklin Gothic Book"/>
      <family val="2"/>
    </font>
    <font>
      <b/>
      <sz val="13"/>
      <color theme="3"/>
      <name val="Franklin Gothic Book"/>
      <family val="2"/>
    </font>
    <font>
      <b/>
      <sz val="15"/>
      <color theme="6"/>
      <name val="Franklin Gothic Book"/>
      <family val="2"/>
    </font>
    <font>
      <b/>
      <sz val="13"/>
      <color theme="6"/>
      <name val="Franklin Gothic Book"/>
      <family val="2"/>
    </font>
    <font>
      <sz val="11"/>
      <color theme="1"/>
      <name val="Franklin Gothic Book"/>
      <family val="2"/>
    </font>
    <font>
      <u/>
      <sz val="10"/>
      <color theme="10"/>
      <name val="Franklin Gothic Book"/>
      <family val="2"/>
    </font>
    <font>
      <u/>
      <sz val="11"/>
      <color theme="10"/>
      <name val="Franklin Gothic Book"/>
      <family val="2"/>
    </font>
    <font>
      <i/>
      <sz val="10"/>
      <color theme="1"/>
      <name val="Franklin Gothic Book"/>
      <family val="2"/>
    </font>
    <font>
      <b/>
      <sz val="10"/>
      <color rgb="FFFFC000"/>
      <name val="Franklin Gothic Book"/>
      <family val="2"/>
    </font>
    <font>
      <b/>
      <sz val="10"/>
      <color theme="1"/>
      <name val="Franklin Gothic Book"/>
      <family val="2"/>
    </font>
    <font>
      <b/>
      <sz val="11"/>
      <color rgb="FFFF0000"/>
      <name val="Franklin Gothic Book"/>
      <family val="2"/>
    </font>
    <font>
      <b/>
      <sz val="10"/>
      <color rgb="FFFF0000"/>
      <name val="Franklin Gothic Book"/>
      <family val="2"/>
    </font>
    <font>
      <sz val="10"/>
      <name val="Franklin Gothic Book"/>
      <family val="2"/>
    </font>
    <font>
      <sz val="11"/>
      <name val="Franklin Gothic Book"/>
      <family val="2"/>
    </font>
    <font>
      <i/>
      <sz val="10"/>
      <name val="Franklin Gothic Book"/>
      <family val="2"/>
    </font>
    <font>
      <b/>
      <sz val="8"/>
      <color theme="1"/>
      <name val="Franklin Gothic Book"/>
      <family val="2"/>
    </font>
    <font>
      <b/>
      <sz val="8"/>
      <name val="Franklin Gothic Book"/>
      <family val="2"/>
    </font>
    <font>
      <b/>
      <sz val="16"/>
      <color rgb="FFFF0000"/>
      <name val="Calibri"/>
      <family val="2"/>
      <scheme val="minor"/>
    </font>
    <font>
      <sz val="10"/>
      <color rgb="FFFFFFFF"/>
      <name val="Franklin Gothic Book"/>
      <family val="2"/>
    </font>
    <font>
      <b/>
      <sz val="10"/>
      <color rgb="FF000000"/>
      <name val="Franklin Gothic Book"/>
      <family val="2"/>
    </font>
    <font>
      <sz val="10"/>
      <color rgb="FF000000"/>
      <name val="Franklin Gothic Book"/>
      <family val="2"/>
    </font>
    <font>
      <b/>
      <i/>
      <sz val="10"/>
      <color theme="1"/>
      <name val="Franklin Gothic Book"/>
      <family val="2"/>
    </font>
    <font>
      <b/>
      <sz val="10"/>
      <color rgb="FFFFFFFF"/>
      <name val="Franklin Gothic Book"/>
      <family val="2"/>
    </font>
    <font>
      <sz val="10"/>
      <color rgb="FF102736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rgb="FF429188"/>
        <bgColor indexed="64"/>
      </patternFill>
    </fill>
    <fill>
      <patternFill patternType="solid">
        <fgColor rgb="FFACD9D4"/>
        <bgColor indexed="64"/>
      </patternFill>
    </fill>
    <fill>
      <patternFill patternType="solid">
        <fgColor rgb="FFD5ECE9"/>
        <bgColor indexed="64"/>
      </patternFill>
    </fill>
    <fill>
      <patternFill patternType="solid">
        <fgColor rgb="FF285F84"/>
        <bgColor indexed="64"/>
      </patternFill>
    </fill>
    <fill>
      <patternFill patternType="solid">
        <fgColor rgb="FFF1F5F9"/>
        <bgColor indexed="64"/>
      </patternFill>
    </fill>
    <fill>
      <patternFill patternType="solid">
        <fgColor rgb="FFE2E8F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1" fillId="0" borderId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4"/>
    <xf numFmtId="0" fontId="10" fillId="0" borderId="0" xfId="4" applyFont="1" applyAlignment="1">
      <alignment horizontal="left" vertical="top" wrapText="1"/>
    </xf>
    <xf numFmtId="0" fontId="1" fillId="0" borderId="0" xfId="4" applyAlignment="1">
      <alignment vertical="top"/>
    </xf>
    <xf numFmtId="0" fontId="2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/>
    <xf numFmtId="165" fontId="0" fillId="0" borderId="0" xfId="1" applyNumberFormat="1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164" fontId="0" fillId="0" borderId="0" xfId="1" applyFont="1" applyFill="1" applyAlignment="1">
      <alignment horizontal="center" vertical="center"/>
    </xf>
    <xf numFmtId="0" fontId="10" fillId="0" borderId="0" xfId="4" applyFont="1" applyAlignment="1">
      <alignment vertical="top"/>
    </xf>
    <xf numFmtId="0" fontId="17" fillId="0" borderId="0" xfId="0" applyFont="1"/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0" fontId="1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5" fillId="0" borderId="9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15" fillId="0" borderId="5" xfId="0" applyFont="1" applyBorder="1" applyAlignment="1">
      <alignment horizontal="center" wrapText="1"/>
    </xf>
    <xf numFmtId="0" fontId="13" fillId="0" borderId="0" xfId="0" applyFont="1"/>
    <xf numFmtId="0" fontId="13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wrapText="1"/>
    </xf>
    <xf numFmtId="2" fontId="0" fillId="0" borderId="14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" fontId="15" fillId="0" borderId="1" xfId="0" applyNumberFormat="1" applyFont="1" applyBorder="1"/>
    <xf numFmtId="17" fontId="15" fillId="0" borderId="3" xfId="0" applyNumberFormat="1" applyFont="1" applyBorder="1"/>
    <xf numFmtId="0" fontId="15" fillId="0" borderId="13" xfId="0" applyFont="1" applyBorder="1"/>
    <xf numFmtId="2" fontId="0" fillId="0" borderId="10" xfId="0" applyNumberFormat="1" applyBorder="1"/>
    <xf numFmtId="2" fontId="0" fillId="0" borderId="0" xfId="0" applyNumberFormat="1"/>
    <xf numFmtId="0" fontId="13" fillId="0" borderId="6" xfId="0" applyFont="1" applyBorder="1"/>
    <xf numFmtId="0" fontId="24" fillId="2" borderId="21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 wrapText="1"/>
    </xf>
    <xf numFmtId="2" fontId="26" fillId="4" borderId="26" xfId="0" applyNumberFormat="1" applyFont="1" applyFill="1" applyBorder="1" applyAlignment="1">
      <alignment horizontal="center" vertical="center" wrapText="1"/>
    </xf>
    <xf numFmtId="168" fontId="26" fillId="3" borderId="25" xfId="0" applyNumberFormat="1" applyFont="1" applyFill="1" applyBorder="1" applyAlignment="1">
      <alignment horizontal="center" vertical="center" wrapText="1"/>
    </xf>
    <xf numFmtId="168" fontId="26" fillId="4" borderId="26" xfId="0" applyNumberFormat="1" applyFont="1" applyFill="1" applyBorder="1" applyAlignment="1">
      <alignment horizontal="center" vertical="center" wrapText="1"/>
    </xf>
    <xf numFmtId="17" fontId="15" fillId="0" borderId="4" xfId="0" applyNumberFormat="1" applyFont="1" applyBorder="1"/>
    <xf numFmtId="2" fontId="0" fillId="0" borderId="11" xfId="0" applyNumberFormat="1" applyBorder="1"/>
    <xf numFmtId="2" fontId="0" fillId="0" borderId="5" xfId="0" applyNumberFormat="1" applyBorder="1"/>
    <xf numFmtId="2" fontId="0" fillId="0" borderId="0" xfId="0" applyNumberFormat="1" applyAlignment="1">
      <alignment horizontal="center"/>
    </xf>
    <xf numFmtId="168" fontId="0" fillId="0" borderId="0" xfId="0" applyNumberFormat="1"/>
    <xf numFmtId="17" fontId="15" fillId="0" borderId="0" xfId="0" applyNumberFormat="1" applyFont="1"/>
    <xf numFmtId="17" fontId="15" fillId="0" borderId="10" xfId="0" applyNumberFormat="1" applyFont="1" applyBorder="1"/>
    <xf numFmtId="2" fontId="0" fillId="0" borderId="13" xfId="0" applyNumberFormat="1" applyBorder="1"/>
    <xf numFmtId="14" fontId="24" fillId="2" borderId="21" xfId="0" applyNumberFormat="1" applyFont="1" applyFill="1" applyBorder="1" applyAlignment="1">
      <alignment horizontal="center" vertical="center" wrapText="1"/>
    </xf>
    <xf numFmtId="0" fontId="28" fillId="5" borderId="31" xfId="0" applyFont="1" applyFill="1" applyBorder="1" applyAlignment="1">
      <alignment horizontal="center" vertical="center" wrapText="1"/>
    </xf>
    <xf numFmtId="14" fontId="29" fillId="6" borderId="31" xfId="0" applyNumberFormat="1" applyFont="1" applyFill="1" applyBorder="1" applyAlignment="1">
      <alignment horizontal="center" vertical="center" wrapText="1"/>
    </xf>
    <xf numFmtId="0" fontId="29" fillId="6" borderId="31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14" fontId="29" fillId="7" borderId="31" xfId="0" applyNumberFormat="1" applyFont="1" applyFill="1" applyBorder="1" applyAlignment="1">
      <alignment horizontal="center" vertical="center" wrapText="1"/>
    </xf>
    <xf numFmtId="0" fontId="29" fillId="7" borderId="31" xfId="0" applyFont="1" applyFill="1" applyBorder="1" applyAlignment="1">
      <alignment horizontal="center" vertical="center" wrapText="1"/>
    </xf>
    <xf numFmtId="0" fontId="29" fillId="7" borderId="9" xfId="0" applyFont="1" applyFill="1" applyBorder="1" applyAlignment="1">
      <alignment horizontal="center" vertical="center" wrapText="1"/>
    </xf>
    <xf numFmtId="2" fontId="29" fillId="6" borderId="31" xfId="0" applyNumberFormat="1" applyFont="1" applyFill="1" applyBorder="1" applyAlignment="1">
      <alignment horizontal="center" vertical="center" wrapText="1"/>
    </xf>
    <xf numFmtId="2" fontId="29" fillId="6" borderId="9" xfId="0" applyNumberFormat="1" applyFont="1" applyFill="1" applyBorder="1" applyAlignment="1">
      <alignment horizontal="center" vertical="center" wrapText="1"/>
    </xf>
    <xf numFmtId="0" fontId="9" fillId="0" borderId="8" xfId="3" applyFont="1" applyAlignment="1">
      <alignment vertical="center"/>
    </xf>
    <xf numFmtId="0" fontId="12" fillId="0" borderId="0" xfId="5" applyFont="1" applyAlignment="1">
      <alignment vertical="top"/>
    </xf>
    <xf numFmtId="0" fontId="10" fillId="0" borderId="0" xfId="4" applyFont="1" applyAlignment="1">
      <alignment vertical="top"/>
    </xf>
    <xf numFmtId="0" fontId="8" fillId="0" borderId="0" xfId="2" applyFont="1" applyBorder="1" applyAlignment="1">
      <alignment horizontal="center" vertical="center" wrapText="1"/>
    </xf>
    <xf numFmtId="0" fontId="8" fillId="0" borderId="7" xfId="2" applyFont="1" applyAlignment="1">
      <alignment horizontal="center" vertical="center" wrapText="1"/>
    </xf>
    <xf numFmtId="0" fontId="9" fillId="0" borderId="8" xfId="3" applyFont="1" applyAlignment="1">
      <alignment horizontal="left" vertical="center"/>
    </xf>
    <xf numFmtId="0" fontId="10" fillId="0" borderId="0" xfId="4" applyFont="1" applyAlignment="1">
      <alignment horizontal="left" vertical="top" wrapText="1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164" fontId="15" fillId="0" borderId="6" xfId="1" applyFont="1" applyBorder="1" applyAlignment="1">
      <alignment horizontal="center"/>
    </xf>
    <xf numFmtId="164" fontId="15" fillId="0" borderId="2" xfId="1" applyFont="1" applyBorder="1" applyAlignment="1">
      <alignment horizontal="center"/>
    </xf>
    <xf numFmtId="164" fontId="15" fillId="0" borderId="5" xfId="1" applyFont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167" fontId="0" fillId="0" borderId="18" xfId="6" applyNumberFormat="1" applyFont="1" applyBorder="1" applyAlignment="1">
      <alignment horizontal="center" vertical="center"/>
    </xf>
    <xf numFmtId="167" fontId="0" fillId="0" borderId="19" xfId="6" applyNumberFormat="1" applyFont="1" applyBorder="1" applyAlignment="1">
      <alignment horizontal="center" vertical="center"/>
    </xf>
    <xf numFmtId="9" fontId="0" fillId="0" borderId="18" xfId="6" applyFont="1" applyBorder="1" applyAlignment="1">
      <alignment horizontal="center" vertical="center"/>
    </xf>
    <xf numFmtId="9" fontId="0" fillId="0" borderId="19" xfId="6" applyFon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4" fillId="2" borderId="22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</cellXfs>
  <cellStyles count="7">
    <cellStyle name="Lien hypertexte" xfId="5" builtinId="8"/>
    <cellStyle name="Milliers" xfId="1" builtinId="3"/>
    <cellStyle name="Normal" xfId="0" builtinId="0"/>
    <cellStyle name="Normal 2" xfId="4" xr:uid="{00000000-0005-0000-0000-000003000000}"/>
    <cellStyle name="Pourcentage" xfId="6" builtinId="5"/>
    <cellStyle name="Titre 1" xfId="2" builtinId="16"/>
    <cellStyle name="Titre 2" xfId="3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4942972590166055E-2"/>
          <c:y val="0.11626351374744473"/>
          <c:w val="0.85374041428213321"/>
          <c:h val="0.85838681065518063"/>
        </c:manualLayout>
      </c:layout>
      <c:lineChart>
        <c:grouping val="standard"/>
        <c:varyColors val="0"/>
        <c:ser>
          <c:idx val="2"/>
          <c:order val="0"/>
          <c:tx>
            <c:strRef>
              <c:f>'Historique PRVG moyen'!$C$1</c:f>
              <c:strCache>
                <c:ptCount val="1"/>
                <c:pt idx="0">
                  <c:v>Prix repère moyen TTC (€/MWh)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1.3791233865928089E-17"/>
                  <c:y val="-1.1315095656214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39-47EA-81A4-1A4D1BB99D6E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'Historique PRVG moyen'!$A$2:$A$18</c:f>
              <c:numCache>
                <c:formatCode>m/d/yyyy</c:formatCode>
                <c:ptCount val="1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</c:numCache>
            </c:numRef>
          </c:cat>
          <c:val>
            <c:numRef>
              <c:f>'Historique PRVG moyen'!$C$2:$C$18</c:f>
              <c:numCache>
                <c:formatCode>General</c:formatCode>
                <c:ptCount val="17"/>
                <c:pt idx="0">
                  <c:v>133.87</c:v>
                </c:pt>
                <c:pt idx="1">
                  <c:v>122.88</c:v>
                </c:pt>
                <c:pt idx="2">
                  <c:v>117.28</c:v>
                </c:pt>
                <c:pt idx="3">
                  <c:v>112.21</c:v>
                </c:pt>
                <c:pt idx="4">
                  <c:v>113.69</c:v>
                </c:pt>
                <c:pt idx="5">
                  <c:v>115.69</c:v>
                </c:pt>
                <c:pt idx="6">
                  <c:v>129.19</c:v>
                </c:pt>
                <c:pt idx="7">
                  <c:v>131.53</c:v>
                </c:pt>
                <c:pt idx="8">
                  <c:v>130.21</c:v>
                </c:pt>
                <c:pt idx="9">
                  <c:v>137.19999999999999</c:v>
                </c:pt>
                <c:pt idx="10">
                  <c:v>135.9</c:v>
                </c:pt>
                <c:pt idx="11" formatCode="0.00">
                  <c:v>138.94839029321815</c:v>
                </c:pt>
                <c:pt idx="12" formatCode="0.00">
                  <c:v>145.03594555305509</c:v>
                </c:pt>
                <c:pt idx="13" formatCode="0.00">
                  <c:v>145.34839029321813</c:v>
                </c:pt>
                <c:pt idx="14" formatCode="0.00">
                  <c:v>147.99839029321814</c:v>
                </c:pt>
                <c:pt idx="15" formatCode="0.00">
                  <c:v>150.69616659240273</c:v>
                </c:pt>
                <c:pt idx="16" formatCode="0.00">
                  <c:v>142.76616659240273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39-47EA-81A4-1A4D1BB99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5137968"/>
        <c:axId val="1"/>
        <c:extLst/>
      </c:lineChart>
      <c:dateAx>
        <c:axId val="385137968"/>
        <c:scaling>
          <c:orientation val="minMax"/>
          <c:max val="45778"/>
          <c:min val="45292"/>
        </c:scaling>
        <c:delete val="0"/>
        <c:axPos val="b"/>
        <c:majorGridlines>
          <c:spPr>
            <a:ln w="15875"/>
          </c:spPr>
        </c:majorGridlines>
        <c:numFmt formatCode="mmm\-yy" sourceLinked="0"/>
        <c:majorTickMark val="cross"/>
        <c:minorTickMark val="none"/>
        <c:tickLblPos val="high"/>
        <c:txPr>
          <a:bodyPr rot="-1860000" vert="horz"/>
          <a:lstStyle/>
          <a:p>
            <a:pPr>
              <a:defRPr sz="1200" b="1"/>
            </a:pPr>
            <a:endParaRPr lang="fr-FR"/>
          </a:p>
        </c:txPr>
        <c:crossAx val="1"/>
        <c:crosses val="autoZero"/>
        <c:auto val="1"/>
        <c:lblOffset val="100"/>
        <c:baseTimeUnit val="months"/>
        <c:majorUnit val="1"/>
        <c:majorTimeUnit val="months"/>
      </c:dateAx>
      <c:valAx>
        <c:axId val="1"/>
        <c:scaling>
          <c:orientation val="minMax"/>
          <c:max val="200"/>
          <c:min val="0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 sz="1600"/>
                  <a:t>€/MWh</a:t>
                </a:r>
              </a:p>
            </c:rich>
          </c:tx>
          <c:overlay val="0"/>
        </c:title>
        <c:numFmt formatCode="#,##0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fr-FR"/>
          </a:p>
        </c:txPr>
        <c:crossAx val="385137968"/>
        <c:crossesAt val="1"/>
        <c:crossBetween val="midCat"/>
      </c:valAx>
      <c:spPr>
        <a:solidFill>
          <a:srgbClr val="FFFFFF"/>
        </a:solidFill>
      </c:spPr>
    </c:plotArea>
    <c:legend>
      <c:legendPos val="r"/>
      <c:layout>
        <c:manualLayout>
          <c:xMode val="edge"/>
          <c:yMode val="edge"/>
          <c:x val="0.12803228783140622"/>
          <c:y val="0.14421039966778357"/>
          <c:w val="0.41023181942183806"/>
          <c:h val="0.20825317396741824"/>
        </c:manualLayout>
      </c:layout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47625</xdr:rowOff>
    </xdr:from>
    <xdr:to>
      <xdr:col>1</xdr:col>
      <xdr:colOff>686841</xdr:colOff>
      <xdr:row>4</xdr:row>
      <xdr:rowOff>73275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19075"/>
          <a:ext cx="142026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164192</xdr:colOff>
      <xdr:row>1</xdr:row>
      <xdr:rowOff>18142</xdr:rowOff>
    </xdr:from>
    <xdr:to>
      <xdr:col>9</xdr:col>
      <xdr:colOff>762907</xdr:colOff>
      <xdr:row>10</xdr:row>
      <xdr:rowOff>88653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08D18CD-E0C9-4622-895C-ABE8689A4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3792" y="354692"/>
          <a:ext cx="5234214" cy="3104698"/>
        </a:xfrm>
        <a:prstGeom prst="rect">
          <a:avLst/>
        </a:prstGeom>
      </xdr:spPr>
    </xdr:pic>
    <xdr:clientData/>
  </xdr:twoCellAnchor>
  <xdr:twoCellAnchor>
    <xdr:from>
      <xdr:col>4</xdr:col>
      <xdr:colOff>115455</xdr:colOff>
      <xdr:row>1</xdr:row>
      <xdr:rowOff>103910</xdr:rowOff>
    </xdr:from>
    <xdr:to>
      <xdr:col>13</xdr:col>
      <xdr:colOff>547051</xdr:colOff>
      <xdr:row>26</xdr:row>
      <xdr:rowOff>87472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E57BCB28-6803-4553-ADB2-FD04D7598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!CRE-graphs">
      <a:dk1>
        <a:sysClr val="windowText" lastClr="000000"/>
      </a:dk1>
      <a:lt1>
        <a:srgbClr val="704973"/>
      </a:lt1>
      <a:dk2>
        <a:srgbClr val="A5C400"/>
      </a:dk2>
      <a:lt2>
        <a:srgbClr val="FABB00"/>
      </a:lt2>
      <a:accent1>
        <a:srgbClr val="EF8650"/>
      </a:accent1>
      <a:accent2>
        <a:srgbClr val="008499"/>
      </a:accent2>
      <a:accent3>
        <a:srgbClr val="E74C2D"/>
      </a:accent3>
      <a:accent4>
        <a:srgbClr val="45597C"/>
      </a:accent4>
      <a:accent5>
        <a:srgbClr val="B02C6D"/>
      </a:accent5>
      <a:accent6>
        <a:srgbClr val="89CCCF"/>
      </a:accent6>
      <a:hlink>
        <a:srgbClr val="4985BA"/>
      </a:hlink>
      <a:folHlink>
        <a:srgbClr val="FFFF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pendata@cre.f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I27"/>
  <sheetViews>
    <sheetView showGridLines="0" topLeftCell="A4" zoomScale="90" zoomScaleNormal="90" workbookViewId="0">
      <selection activeCell="J8" sqref="J8"/>
    </sheetView>
  </sheetViews>
  <sheetFormatPr baseColWidth="10" defaultColWidth="11" defaultRowHeight="13.5" x14ac:dyDescent="0.35"/>
  <cols>
    <col min="1" max="11" width="11" style="1"/>
    <col min="12" max="12" width="0" style="1" hidden="1" customWidth="1"/>
    <col min="13" max="16384" width="11" style="1"/>
  </cols>
  <sheetData>
    <row r="5" spans="2:8" ht="14.25" customHeight="1" x14ac:dyDescent="0.35">
      <c r="C5" s="93" t="s">
        <v>47</v>
      </c>
      <c r="D5" s="93"/>
      <c r="E5" s="93"/>
      <c r="F5" s="93"/>
      <c r="G5" s="93"/>
      <c r="H5" s="93"/>
    </row>
    <row r="6" spans="2:8" ht="40.5" customHeight="1" thickBot="1" x14ac:dyDescent="0.4">
      <c r="C6" s="94"/>
      <c r="D6" s="94"/>
      <c r="E6" s="94"/>
      <c r="F6" s="94"/>
      <c r="G6" s="94"/>
      <c r="H6" s="94"/>
    </row>
    <row r="7" spans="2:8" ht="14" thickTop="1" x14ac:dyDescent="0.35"/>
    <row r="10" spans="2:8" ht="14" thickBot="1" x14ac:dyDescent="0.4">
      <c r="B10" s="95" t="s">
        <v>1</v>
      </c>
      <c r="C10" s="95"/>
      <c r="D10" s="95"/>
      <c r="E10" s="95"/>
    </row>
    <row r="11" spans="2:8" ht="14.5" thickTop="1" thickBot="1" x14ac:dyDescent="0.4">
      <c r="B11" s="95"/>
      <c r="C11" s="95"/>
      <c r="D11" s="95"/>
      <c r="E11" s="95"/>
    </row>
    <row r="12" spans="2:8" ht="14" thickTop="1" x14ac:dyDescent="0.35"/>
    <row r="13" spans="2:8" ht="101.25" customHeight="1" x14ac:dyDescent="0.35">
      <c r="B13" s="96" t="s">
        <v>68</v>
      </c>
      <c r="C13" s="96"/>
      <c r="D13" s="96"/>
      <c r="E13" s="96"/>
      <c r="F13" s="96"/>
      <c r="G13" s="96"/>
      <c r="H13" s="96"/>
    </row>
    <row r="14" spans="2:8" ht="15" x14ac:dyDescent="0.35">
      <c r="B14" s="2"/>
      <c r="C14" s="2"/>
      <c r="D14" s="2"/>
      <c r="E14" s="2"/>
      <c r="F14" s="2"/>
      <c r="G14" s="2"/>
      <c r="H14" s="2"/>
    </row>
    <row r="15" spans="2:8" ht="15" x14ac:dyDescent="0.35">
      <c r="B15" s="2"/>
      <c r="C15" s="2"/>
      <c r="D15" s="2"/>
      <c r="E15" s="2"/>
      <c r="F15" s="2"/>
      <c r="G15" s="2"/>
      <c r="H15" s="2"/>
    </row>
    <row r="16" spans="2:8" ht="14" thickBot="1" x14ac:dyDescent="0.4">
      <c r="B16" s="90" t="s">
        <v>2</v>
      </c>
      <c r="C16" s="90"/>
      <c r="D16" s="90"/>
      <c r="E16" s="90"/>
    </row>
    <row r="17" spans="2:9" ht="14.5" thickTop="1" thickBot="1" x14ac:dyDescent="0.4">
      <c r="B17" s="90"/>
      <c r="C17" s="90"/>
      <c r="D17" s="90"/>
      <c r="E17" s="90"/>
    </row>
    <row r="18" spans="2:9" ht="14" thickTop="1" x14ac:dyDescent="0.35"/>
    <row r="19" spans="2:9" ht="15" x14ac:dyDescent="0.35">
      <c r="B19" s="24" t="s">
        <v>10</v>
      </c>
      <c r="C19" s="24" t="s">
        <v>14</v>
      </c>
      <c r="D19" s="24"/>
      <c r="E19" s="3"/>
    </row>
    <row r="20" spans="2:9" ht="15" x14ac:dyDescent="0.35">
      <c r="B20" s="24" t="s">
        <v>13</v>
      </c>
      <c r="C20" s="24" t="s">
        <v>17</v>
      </c>
      <c r="D20" s="24"/>
      <c r="E20" s="3"/>
    </row>
    <row r="21" spans="2:9" x14ac:dyDescent="0.35">
      <c r="B21" s="3"/>
      <c r="C21" s="3"/>
      <c r="D21" s="3"/>
      <c r="E21" s="3"/>
    </row>
    <row r="22" spans="2:9" ht="14" thickBot="1" x14ac:dyDescent="0.4">
      <c r="B22" s="90" t="s">
        <v>3</v>
      </c>
      <c r="C22" s="90"/>
      <c r="D22" s="90"/>
      <c r="E22" s="90"/>
      <c r="F22" s="3"/>
      <c r="G22" s="3"/>
      <c r="H22" s="3"/>
      <c r="I22" s="3"/>
    </row>
    <row r="23" spans="2:9" ht="14.5" thickTop="1" thickBot="1" x14ac:dyDescent="0.4">
      <c r="B23" s="90"/>
      <c r="C23" s="90"/>
      <c r="D23" s="90"/>
      <c r="E23" s="90"/>
      <c r="F23" s="3"/>
      <c r="G23" s="3"/>
      <c r="H23" s="3"/>
      <c r="I23" s="3"/>
    </row>
    <row r="24" spans="2:9" ht="14" thickTop="1" x14ac:dyDescent="0.35">
      <c r="B24" s="3"/>
      <c r="C24" s="3"/>
      <c r="D24" s="3"/>
      <c r="E24" s="3"/>
      <c r="F24" s="3"/>
      <c r="G24" s="3"/>
      <c r="H24" s="3"/>
      <c r="I24" s="3"/>
    </row>
    <row r="25" spans="2:9" ht="15" x14ac:dyDescent="0.35">
      <c r="B25" s="91" t="s">
        <v>4</v>
      </c>
      <c r="C25" s="92"/>
      <c r="D25" s="92"/>
      <c r="E25" s="92"/>
      <c r="F25" s="3"/>
      <c r="G25" s="3"/>
      <c r="H25" s="3"/>
      <c r="I25" s="3"/>
    </row>
    <row r="26" spans="2:9" x14ac:dyDescent="0.35">
      <c r="B26" s="3"/>
      <c r="C26" s="3"/>
      <c r="D26" s="3"/>
      <c r="E26" s="3"/>
      <c r="F26" s="3"/>
      <c r="G26" s="3"/>
      <c r="H26" s="3"/>
      <c r="I26" s="3"/>
    </row>
    <row r="27" spans="2:9" x14ac:dyDescent="0.35">
      <c r="B27" s="3"/>
      <c r="C27" s="3"/>
      <c r="D27" s="3"/>
      <c r="E27" s="3"/>
      <c r="F27" s="3"/>
      <c r="G27" s="3"/>
      <c r="H27" s="3"/>
      <c r="I27" s="3"/>
    </row>
  </sheetData>
  <mergeCells count="6">
    <mergeCell ref="B22:E23"/>
    <mergeCell ref="B25:E25"/>
    <mergeCell ref="C5:H6"/>
    <mergeCell ref="B10:E11"/>
    <mergeCell ref="B13:H13"/>
    <mergeCell ref="B16:E17"/>
  </mergeCells>
  <hyperlinks>
    <hyperlink ref="B25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84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266D9-B829-4151-BAAC-0937E6B8BD2F}">
  <sheetPr>
    <tabColor theme="8"/>
  </sheetPr>
  <dimension ref="B1:F161"/>
  <sheetViews>
    <sheetView zoomScale="70" zoomScaleNormal="70" workbookViewId="0">
      <selection activeCell="L16" sqref="L16"/>
    </sheetView>
  </sheetViews>
  <sheetFormatPr baseColWidth="10" defaultRowHeight="13.5" x14ac:dyDescent="0.35"/>
  <sheetData>
    <row r="1" spans="2:6" ht="14" thickBot="1" x14ac:dyDescent="0.4"/>
    <row r="2" spans="2:6" ht="14" customHeight="1" thickBot="1" x14ac:dyDescent="0.4">
      <c r="B2" s="80">
        <v>45748</v>
      </c>
      <c r="C2" s="122" t="s">
        <v>24</v>
      </c>
      <c r="D2" s="122"/>
      <c r="E2" s="122" t="s">
        <v>21</v>
      </c>
      <c r="F2" s="123"/>
    </row>
    <row r="3" spans="2:6" ht="14" thickBot="1" x14ac:dyDescent="0.4">
      <c r="B3" s="67"/>
      <c r="C3" s="68" t="s">
        <v>53</v>
      </c>
      <c r="D3" s="68" t="s">
        <v>54</v>
      </c>
      <c r="E3" s="68" t="s">
        <v>53</v>
      </c>
      <c r="F3" s="68" t="s">
        <v>54</v>
      </c>
    </row>
    <row r="4" spans="2:6" ht="27.5" thickBot="1" x14ac:dyDescent="0.4">
      <c r="B4" s="67" t="s">
        <v>55</v>
      </c>
      <c r="C4" s="69">
        <v>95.494065546218508</v>
      </c>
      <c r="D4" s="69">
        <v>114.30298915126052</v>
      </c>
      <c r="E4" s="69">
        <v>219.45406554621849</v>
      </c>
      <c r="F4" s="69">
        <v>277.42708915126047</v>
      </c>
    </row>
    <row r="5" spans="2:6" ht="41" thickBot="1" x14ac:dyDescent="0.4">
      <c r="B5" s="67" t="s">
        <v>56</v>
      </c>
      <c r="C5" s="70">
        <v>0.11037999999999999</v>
      </c>
      <c r="D5" s="70">
        <v>0.15305000000000002</v>
      </c>
      <c r="E5" s="70">
        <v>8.6279999999999996E-2</v>
      </c>
      <c r="F5" s="70">
        <v>0.12412000000000001</v>
      </c>
    </row>
    <row r="6" spans="2:6" ht="54.5" thickBot="1" x14ac:dyDescent="0.4">
      <c r="B6" s="67" t="s">
        <v>57</v>
      </c>
      <c r="C6" s="71">
        <v>0.10723000000000001</v>
      </c>
      <c r="D6" s="71">
        <v>0.14927000000000001</v>
      </c>
      <c r="E6" s="71">
        <v>7.8920000000000004E-2</v>
      </c>
      <c r="F6" s="71">
        <v>0.11529</v>
      </c>
    </row>
    <row r="7" spans="2:6" ht="54.5" thickBot="1" x14ac:dyDescent="0.4">
      <c r="B7" s="67" t="s">
        <v>58</v>
      </c>
      <c r="C7" s="70">
        <v>0.11713</v>
      </c>
      <c r="D7" s="70">
        <v>0.16115000000000002</v>
      </c>
      <c r="E7" s="70">
        <v>0.10109</v>
      </c>
      <c r="F7" s="70">
        <v>0.1419</v>
      </c>
    </row>
    <row r="8" spans="2:6" ht="14" thickBot="1" x14ac:dyDescent="0.4"/>
    <row r="9" spans="2:6" ht="14" customHeight="1" thickBot="1" x14ac:dyDescent="0.4">
      <c r="B9" s="80">
        <v>45717</v>
      </c>
      <c r="C9" s="122" t="s">
        <v>24</v>
      </c>
      <c r="D9" s="122"/>
      <c r="E9" s="122" t="s">
        <v>21</v>
      </c>
      <c r="F9" s="123"/>
    </row>
    <row r="10" spans="2:6" ht="14" thickBot="1" x14ac:dyDescent="0.4">
      <c r="B10" s="67"/>
      <c r="C10" s="68" t="s">
        <v>53</v>
      </c>
      <c r="D10" s="68" t="s">
        <v>54</v>
      </c>
      <c r="E10" s="68" t="s">
        <v>53</v>
      </c>
      <c r="F10" s="68" t="s">
        <v>54</v>
      </c>
    </row>
    <row r="11" spans="2:6" ht="27.5" thickBot="1" x14ac:dyDescent="0.4">
      <c r="B11" s="67" t="s">
        <v>55</v>
      </c>
      <c r="C11" s="69">
        <v>95.494065546218508</v>
      </c>
      <c r="D11" s="69">
        <v>114.30298915126052</v>
      </c>
      <c r="E11" s="69">
        <v>219.45406554621849</v>
      </c>
      <c r="F11" s="69">
        <v>277.42708915126047</v>
      </c>
    </row>
    <row r="12" spans="2:6" ht="41" thickBot="1" x14ac:dyDescent="0.4">
      <c r="B12" s="67" t="s">
        <v>56</v>
      </c>
      <c r="C12" s="70">
        <v>0.10817</v>
      </c>
      <c r="D12" s="70">
        <v>0.15040000000000001</v>
      </c>
      <c r="E12" s="70">
        <v>8.4019999999999997E-2</v>
      </c>
      <c r="F12" s="70">
        <v>0.12142</v>
      </c>
    </row>
    <row r="13" spans="2:6" ht="54.5" thickBot="1" x14ac:dyDescent="0.4">
      <c r="B13" s="67" t="s">
        <v>57</v>
      </c>
      <c r="C13" s="71">
        <v>0.10506</v>
      </c>
      <c r="D13" s="71">
        <v>0.14666999999999999</v>
      </c>
      <c r="E13" s="71">
        <v>7.665000000000001E-2</v>
      </c>
      <c r="F13" s="71">
        <v>0.11256999999999999</v>
      </c>
    </row>
    <row r="14" spans="2:6" ht="54.5" thickBot="1" x14ac:dyDescent="0.4">
      <c r="B14" s="67" t="s">
        <v>58</v>
      </c>
      <c r="C14" s="70">
        <v>0.1149</v>
      </c>
      <c r="D14" s="70">
        <v>0.15847</v>
      </c>
      <c r="E14" s="70">
        <v>9.9000000000000005E-2</v>
      </c>
      <c r="F14" s="70">
        <v>0.1394</v>
      </c>
    </row>
    <row r="15" spans="2:6" ht="14" thickBot="1" x14ac:dyDescent="0.4"/>
    <row r="16" spans="2:6" ht="14" customHeight="1" thickBot="1" x14ac:dyDescent="0.4">
      <c r="B16" s="80">
        <v>45689</v>
      </c>
      <c r="C16" s="122" t="s">
        <v>24</v>
      </c>
      <c r="D16" s="122"/>
      <c r="E16" s="122" t="s">
        <v>21</v>
      </c>
      <c r="F16" s="123"/>
    </row>
    <row r="17" spans="2:6" ht="14" customHeight="1" thickBot="1" x14ac:dyDescent="0.4">
      <c r="B17" s="67"/>
      <c r="C17" s="68" t="s">
        <v>53</v>
      </c>
      <c r="D17" s="68" t="s">
        <v>54</v>
      </c>
      <c r="E17" s="68" t="s">
        <v>53</v>
      </c>
      <c r="F17" s="68" t="s">
        <v>54</v>
      </c>
    </row>
    <row r="18" spans="2:6" ht="27.5" thickBot="1" x14ac:dyDescent="0.4">
      <c r="B18" s="67" t="s">
        <v>55</v>
      </c>
      <c r="C18" s="69">
        <v>95.494065546218508</v>
      </c>
      <c r="D18" s="69">
        <v>114.30298915126052</v>
      </c>
      <c r="E18" s="69">
        <v>219.45406554621849</v>
      </c>
      <c r="F18" s="69">
        <v>277.42708915126047</v>
      </c>
    </row>
    <row r="19" spans="2:6" ht="41" thickBot="1" x14ac:dyDescent="0.4">
      <c r="B19" s="67" t="s">
        <v>56</v>
      </c>
      <c r="C19" s="70">
        <v>0.10596</v>
      </c>
      <c r="D19" s="70">
        <v>0.14774999999999999</v>
      </c>
      <c r="E19" s="70">
        <v>8.181999999999999E-2</v>
      </c>
      <c r="F19" s="70">
        <v>0.11877</v>
      </c>
    </row>
    <row r="20" spans="2:6" ht="54.5" thickBot="1" x14ac:dyDescent="0.4">
      <c r="B20" s="67" t="s">
        <v>57</v>
      </c>
      <c r="C20" s="71">
        <v>0.10285999999999999</v>
      </c>
      <c r="D20" s="71">
        <v>0.14402000000000001</v>
      </c>
      <c r="E20" s="71">
        <v>7.4439999999999992E-2</v>
      </c>
      <c r="F20" s="71">
        <v>0.10992</v>
      </c>
    </row>
    <row r="21" spans="2:6" ht="54.5" thickBot="1" x14ac:dyDescent="0.4">
      <c r="B21" s="67" t="s">
        <v>58</v>
      </c>
      <c r="C21" s="70">
        <v>0.11269</v>
      </c>
      <c r="D21" s="70">
        <v>0.15581999999999999</v>
      </c>
      <c r="E21" s="70">
        <v>9.6799999999999997E-2</v>
      </c>
      <c r="F21" s="70">
        <v>0.13675000000000001</v>
      </c>
    </row>
    <row r="22" spans="2:6" ht="14" thickBot="1" x14ac:dyDescent="0.4"/>
    <row r="23" spans="2:6" ht="14" thickBot="1" x14ac:dyDescent="0.4">
      <c r="B23" s="80">
        <v>45658</v>
      </c>
      <c r="C23" s="122" t="s">
        <v>24</v>
      </c>
      <c r="D23" s="122"/>
      <c r="E23" s="122" t="s">
        <v>21</v>
      </c>
      <c r="F23" s="123"/>
    </row>
    <row r="24" spans="2:6" ht="14" thickBot="1" x14ac:dyDescent="0.4">
      <c r="B24" s="67"/>
      <c r="C24" s="68" t="s">
        <v>53</v>
      </c>
      <c r="D24" s="68" t="s">
        <v>54</v>
      </c>
      <c r="E24" s="68" t="s">
        <v>53</v>
      </c>
      <c r="F24" s="68" t="s">
        <v>54</v>
      </c>
    </row>
    <row r="25" spans="2:6" ht="24" customHeight="1" thickBot="1" x14ac:dyDescent="0.4">
      <c r="B25" s="67" t="s">
        <v>55</v>
      </c>
      <c r="C25" s="69">
        <v>95.494065546218508</v>
      </c>
      <c r="D25" s="69">
        <v>114.30298915126052</v>
      </c>
      <c r="E25" s="69">
        <v>219.45406554621849</v>
      </c>
      <c r="F25" s="69">
        <v>277.42708915126047</v>
      </c>
    </row>
    <row r="26" spans="2:6" ht="41" thickBot="1" x14ac:dyDescent="0.4">
      <c r="B26" s="67" t="s">
        <v>56</v>
      </c>
      <c r="C26" s="70">
        <v>0.1057</v>
      </c>
      <c r="D26" s="70">
        <v>0.14743000000000001</v>
      </c>
      <c r="E26" s="70">
        <v>8.1549999999999997E-2</v>
      </c>
      <c r="F26" s="70">
        <v>0.11845</v>
      </c>
    </row>
    <row r="27" spans="2:6" ht="54.5" thickBot="1" x14ac:dyDescent="0.4">
      <c r="B27" s="67" t="s">
        <v>57</v>
      </c>
      <c r="C27" s="71">
        <v>0.10259</v>
      </c>
      <c r="D27" s="71">
        <v>0.14369999999999999</v>
      </c>
      <c r="E27" s="71">
        <v>7.417E-2</v>
      </c>
      <c r="F27" s="71">
        <v>0.10959999999999999</v>
      </c>
    </row>
    <row r="28" spans="2:6" ht="54.5" thickBot="1" x14ac:dyDescent="0.4">
      <c r="B28" s="67" t="s">
        <v>58</v>
      </c>
      <c r="C28" s="70">
        <v>0.11242000000000001</v>
      </c>
      <c r="D28" s="70">
        <v>0.1555</v>
      </c>
      <c r="E28" s="70">
        <v>9.6530000000000005E-2</v>
      </c>
      <c r="F28" s="70">
        <v>0.13643</v>
      </c>
    </row>
    <row r="29" spans="2:6" ht="14" thickBot="1" x14ac:dyDescent="0.4"/>
    <row r="30" spans="2:6" ht="14" customHeight="1" thickBot="1" x14ac:dyDescent="0.4">
      <c r="B30" s="80">
        <v>45627</v>
      </c>
      <c r="C30" s="122" t="s">
        <v>24</v>
      </c>
      <c r="D30" s="122"/>
      <c r="E30" s="122" t="s">
        <v>21</v>
      </c>
      <c r="F30" s="123"/>
    </row>
    <row r="31" spans="2:6" ht="14" thickBot="1" x14ac:dyDescent="0.4">
      <c r="B31" s="67"/>
      <c r="C31" s="68" t="s">
        <v>53</v>
      </c>
      <c r="D31" s="68" t="s">
        <v>54</v>
      </c>
      <c r="E31" s="68" t="s">
        <v>53</v>
      </c>
      <c r="F31" s="68" t="s">
        <v>54</v>
      </c>
    </row>
    <row r="32" spans="2:6" ht="27.5" thickBot="1" x14ac:dyDescent="0.4">
      <c r="B32" s="67" t="s">
        <v>55</v>
      </c>
      <c r="C32" s="69">
        <v>95.494065546218508</v>
      </c>
      <c r="D32" s="69">
        <v>114.30298915126052</v>
      </c>
      <c r="E32" s="69">
        <v>219.45406554621849</v>
      </c>
      <c r="F32" s="69">
        <v>277.42708915126047</v>
      </c>
    </row>
    <row r="33" spans="2:6" ht="41" thickBot="1" x14ac:dyDescent="0.4">
      <c r="B33" s="67" t="s">
        <v>56</v>
      </c>
      <c r="C33" s="70">
        <v>0.10142</v>
      </c>
      <c r="D33" s="70">
        <v>0.14135</v>
      </c>
      <c r="E33" s="70">
        <v>7.7269999999999991E-2</v>
      </c>
      <c r="F33" s="70">
        <v>0.11237</v>
      </c>
    </row>
    <row r="34" spans="2:6" ht="54.5" thickBot="1" x14ac:dyDescent="0.4">
      <c r="B34" s="67" t="s">
        <v>57</v>
      </c>
      <c r="C34" s="71">
        <v>9.8310000000000008E-2</v>
      </c>
      <c r="D34" s="71">
        <v>0.13761999999999999</v>
      </c>
      <c r="E34" s="71">
        <v>6.9889999999999994E-2</v>
      </c>
      <c r="F34" s="71">
        <v>0.10352</v>
      </c>
    </row>
    <row r="35" spans="2:6" ht="54.5" thickBot="1" x14ac:dyDescent="0.4">
      <c r="B35" s="67" t="s">
        <v>58</v>
      </c>
      <c r="C35" s="70">
        <v>0.10814</v>
      </c>
      <c r="D35" s="70">
        <v>0.14940999999999999</v>
      </c>
      <c r="E35" s="70">
        <v>9.2249999999999999E-2</v>
      </c>
      <c r="F35" s="70">
        <v>0.13034000000000001</v>
      </c>
    </row>
    <row r="36" spans="2:6" ht="14" thickBot="1" x14ac:dyDescent="0.4"/>
    <row r="37" spans="2:6" ht="14" thickBot="1" x14ac:dyDescent="0.4">
      <c r="B37" s="80">
        <v>45597</v>
      </c>
      <c r="C37" s="122" t="s">
        <v>24</v>
      </c>
      <c r="D37" s="122"/>
      <c r="E37" s="122" t="s">
        <v>21</v>
      </c>
      <c r="F37" s="123"/>
    </row>
    <row r="38" spans="2:6" ht="14" thickBot="1" x14ac:dyDescent="0.4">
      <c r="B38" s="67"/>
      <c r="C38" s="68" t="s">
        <v>53</v>
      </c>
      <c r="D38" s="68" t="s">
        <v>54</v>
      </c>
      <c r="E38" s="68" t="s">
        <v>53</v>
      </c>
      <c r="F38" s="68" t="s">
        <v>54</v>
      </c>
    </row>
    <row r="39" spans="2:6" ht="24" customHeight="1" thickBot="1" x14ac:dyDescent="0.4">
      <c r="B39" s="67" t="s">
        <v>55</v>
      </c>
      <c r="C39" s="69">
        <v>95.494065546218508</v>
      </c>
      <c r="D39" s="69">
        <v>114.30298915126052</v>
      </c>
      <c r="E39" s="69">
        <v>219.45406554621849</v>
      </c>
      <c r="F39" s="69">
        <v>277.42708915126047</v>
      </c>
    </row>
    <row r="40" spans="2:6" ht="41" thickBot="1" x14ac:dyDescent="0.4">
      <c r="B40" s="67" t="s">
        <v>56</v>
      </c>
      <c r="C40" s="70">
        <v>9.8879999999999996E-2</v>
      </c>
      <c r="D40" s="70">
        <v>0.13830000000000001</v>
      </c>
      <c r="E40" s="70">
        <v>7.4730000000000005E-2</v>
      </c>
      <c r="F40" s="70">
        <v>0.10931999999999999</v>
      </c>
    </row>
    <row r="41" spans="2:6" ht="54.5" thickBot="1" x14ac:dyDescent="0.4">
      <c r="B41" s="67" t="s">
        <v>57</v>
      </c>
      <c r="C41" s="71">
        <v>9.5769999999999994E-2</v>
      </c>
      <c r="D41" s="71">
        <v>0.13457</v>
      </c>
      <c r="E41" s="71">
        <v>6.7360000000000003E-2</v>
      </c>
      <c r="F41" s="71">
        <v>0.10047</v>
      </c>
    </row>
    <row r="42" spans="2:6" ht="54.5" thickBot="1" x14ac:dyDescent="0.4">
      <c r="B42" s="67" t="s">
        <v>58</v>
      </c>
      <c r="C42" s="70">
        <v>0.10561</v>
      </c>
      <c r="D42" s="70">
        <v>0.14637</v>
      </c>
      <c r="E42" s="70">
        <v>8.9709999999999998E-2</v>
      </c>
      <c r="F42" s="70">
        <v>0.1273</v>
      </c>
    </row>
    <row r="43" spans="2:6" ht="14" thickBot="1" x14ac:dyDescent="0.4"/>
    <row r="44" spans="2:6" ht="14" thickBot="1" x14ac:dyDescent="0.4">
      <c r="B44" s="80">
        <v>45566</v>
      </c>
      <c r="C44" s="122" t="s">
        <v>24</v>
      </c>
      <c r="D44" s="122"/>
      <c r="E44" s="122" t="s">
        <v>21</v>
      </c>
      <c r="F44" s="123"/>
    </row>
    <row r="45" spans="2:6" ht="14" thickBot="1" x14ac:dyDescent="0.4">
      <c r="B45" s="67"/>
      <c r="C45" s="68" t="s">
        <v>53</v>
      </c>
      <c r="D45" s="68" t="s">
        <v>54</v>
      </c>
      <c r="E45" s="68" t="s">
        <v>53</v>
      </c>
      <c r="F45" s="68" t="s">
        <v>54</v>
      </c>
    </row>
    <row r="46" spans="2:6" ht="27.5" thickBot="1" x14ac:dyDescent="0.4">
      <c r="B46" s="67" t="s">
        <v>55</v>
      </c>
      <c r="C46" s="69">
        <v>95.494065546218508</v>
      </c>
      <c r="D46" s="69">
        <v>114.30298915126052</v>
      </c>
      <c r="E46" s="69">
        <v>219.45406554621849</v>
      </c>
      <c r="F46" s="69">
        <v>277.42708915126047</v>
      </c>
    </row>
    <row r="47" spans="2:6" ht="41" thickBot="1" x14ac:dyDescent="0.4">
      <c r="B47" s="67" t="s">
        <v>56</v>
      </c>
      <c r="C47" s="70">
        <v>9.9959999999999993E-2</v>
      </c>
      <c r="D47" s="70">
        <v>0.1396</v>
      </c>
      <c r="E47" s="70">
        <v>7.5810000000000002E-2</v>
      </c>
      <c r="F47" s="70">
        <v>0.11062000000000001</v>
      </c>
    </row>
    <row r="48" spans="2:6" ht="54.5" thickBot="1" x14ac:dyDescent="0.4">
      <c r="B48" s="67" t="s">
        <v>57</v>
      </c>
      <c r="C48" s="71">
        <v>9.6849999999999992E-2</v>
      </c>
      <c r="D48" s="71">
        <v>0.13586999999999999</v>
      </c>
      <c r="E48" s="71">
        <v>6.8440000000000001E-2</v>
      </c>
      <c r="F48" s="71">
        <v>0.10177</v>
      </c>
    </row>
    <row r="49" spans="2:6" ht="54.5" thickBot="1" x14ac:dyDescent="0.4">
      <c r="B49" s="67" t="s">
        <v>58</v>
      </c>
      <c r="C49" s="70">
        <v>0.10668999999999999</v>
      </c>
      <c r="D49" s="70">
        <v>0.14767</v>
      </c>
      <c r="E49" s="70">
        <v>9.079000000000001E-2</v>
      </c>
      <c r="F49" s="70">
        <v>0.12859999999999999</v>
      </c>
    </row>
    <row r="50" spans="2:6" ht="14" thickBot="1" x14ac:dyDescent="0.4"/>
    <row r="51" spans="2:6" ht="14" customHeight="1" thickBot="1" x14ac:dyDescent="0.4">
      <c r="B51" s="80">
        <v>45536</v>
      </c>
      <c r="C51" s="122" t="s">
        <v>24</v>
      </c>
      <c r="D51" s="122"/>
      <c r="E51" s="122" t="s">
        <v>21</v>
      </c>
      <c r="F51" s="123"/>
    </row>
    <row r="52" spans="2:6" ht="14" thickBot="1" x14ac:dyDescent="0.4">
      <c r="B52" s="67"/>
      <c r="C52" s="68" t="s">
        <v>53</v>
      </c>
      <c r="D52" s="68" t="s">
        <v>54</v>
      </c>
      <c r="E52" s="68" t="s">
        <v>53</v>
      </c>
      <c r="F52" s="68" t="s">
        <v>54</v>
      </c>
    </row>
    <row r="53" spans="2:6" ht="24" customHeight="1" thickBot="1" x14ac:dyDescent="0.4">
      <c r="B53" s="67" t="s">
        <v>55</v>
      </c>
      <c r="C53" s="69">
        <v>95.494065546218508</v>
      </c>
      <c r="D53" s="69">
        <v>114.30298915126052</v>
      </c>
      <c r="E53" s="69">
        <v>219.45406554621849</v>
      </c>
      <c r="F53" s="69">
        <v>277.42708915126047</v>
      </c>
    </row>
    <row r="54" spans="2:6" ht="41" thickBot="1" x14ac:dyDescent="0.4">
      <c r="B54" s="67" t="s">
        <v>56</v>
      </c>
      <c r="C54" s="70">
        <v>9.4140000000000001E-2</v>
      </c>
      <c r="D54" s="70">
        <v>0.13261000000000001</v>
      </c>
      <c r="E54" s="70">
        <v>6.9989999999999997E-2</v>
      </c>
      <c r="F54" s="70">
        <v>0.10363</v>
      </c>
    </row>
    <row r="55" spans="2:6" ht="54.5" thickBot="1" x14ac:dyDescent="0.4">
      <c r="B55" s="67" t="s">
        <v>57</v>
      </c>
      <c r="C55" s="71">
        <v>9.103E-2</v>
      </c>
      <c r="D55" s="71">
        <v>0.12887999999999999</v>
      </c>
      <c r="E55" s="71">
        <v>6.2609999999999999E-2</v>
      </c>
      <c r="F55" s="71">
        <v>9.4780000000000003E-2</v>
      </c>
    </row>
    <row r="56" spans="2:6" ht="54.5" thickBot="1" x14ac:dyDescent="0.4">
      <c r="B56" s="67" t="s">
        <v>58</v>
      </c>
      <c r="C56" s="70">
        <v>0.10086000000000001</v>
      </c>
      <c r="D56" s="70">
        <v>0.14068</v>
      </c>
      <c r="E56" s="70">
        <v>8.4970000000000004E-2</v>
      </c>
      <c r="F56" s="70">
        <v>0.12161</v>
      </c>
    </row>
    <row r="57" spans="2:6" ht="14" thickBot="1" x14ac:dyDescent="0.4"/>
    <row r="58" spans="2:6" ht="14" thickBot="1" x14ac:dyDescent="0.4">
      <c r="B58" s="80">
        <v>45505</v>
      </c>
      <c r="C58" s="122" t="s">
        <v>24</v>
      </c>
      <c r="D58" s="122"/>
      <c r="E58" s="122" t="s">
        <v>21</v>
      </c>
      <c r="F58" s="123"/>
    </row>
    <row r="59" spans="2:6" ht="26.5" customHeight="1" thickBot="1" x14ac:dyDescent="0.4">
      <c r="B59" s="67"/>
      <c r="C59" s="68" t="s">
        <v>53</v>
      </c>
      <c r="D59" s="68" t="s">
        <v>54</v>
      </c>
      <c r="E59" s="68" t="s">
        <v>53</v>
      </c>
      <c r="F59" s="68" t="s">
        <v>54</v>
      </c>
    </row>
    <row r="60" spans="2:6" ht="26.5" customHeight="1" thickBot="1" x14ac:dyDescent="0.4">
      <c r="B60" s="67" t="s">
        <v>55</v>
      </c>
      <c r="C60" s="69">
        <v>95.494065546218508</v>
      </c>
      <c r="D60" s="69">
        <v>114.30298915126052</v>
      </c>
      <c r="E60" s="69">
        <v>219.45406554621849</v>
      </c>
      <c r="F60" s="69">
        <v>277.42708915126047</v>
      </c>
    </row>
    <row r="61" spans="2:6" ht="26.5" customHeight="1" thickBot="1" x14ac:dyDescent="0.4">
      <c r="B61" s="67" t="s">
        <v>56</v>
      </c>
      <c r="C61" s="70">
        <v>9.5239999999999991E-2</v>
      </c>
      <c r="D61" s="70">
        <v>0.13392999999999999</v>
      </c>
      <c r="E61" s="70">
        <v>7.109E-2</v>
      </c>
      <c r="F61" s="70">
        <v>0.10495</v>
      </c>
    </row>
    <row r="62" spans="2:6" ht="26.5" customHeight="1" thickBot="1" x14ac:dyDescent="0.4">
      <c r="B62" s="67" t="s">
        <v>57</v>
      </c>
      <c r="C62" s="71">
        <v>9.212999999999999E-2</v>
      </c>
      <c r="D62" s="71">
        <v>0.13019999999999998</v>
      </c>
      <c r="E62" s="71">
        <v>6.3710000000000003E-2</v>
      </c>
      <c r="F62" s="71">
        <v>9.6099999999999991E-2</v>
      </c>
    </row>
    <row r="63" spans="2:6" ht="26.5" customHeight="1" thickBot="1" x14ac:dyDescent="0.4">
      <c r="B63" s="67" t="s">
        <v>58</v>
      </c>
      <c r="C63" s="70">
        <v>0.10196</v>
      </c>
      <c r="D63" s="70">
        <v>0.14199999999999999</v>
      </c>
      <c r="E63" s="70">
        <v>8.6069999999999994E-2</v>
      </c>
      <c r="F63" s="70">
        <v>0.12293000000000001</v>
      </c>
    </row>
    <row r="64" spans="2:6" ht="26.5" customHeight="1" thickBot="1" x14ac:dyDescent="0.4"/>
    <row r="65" spans="2:6" ht="26.5" customHeight="1" thickBot="1" x14ac:dyDescent="0.4">
      <c r="B65" s="80">
        <v>45474</v>
      </c>
      <c r="C65" s="122" t="s">
        <v>24</v>
      </c>
      <c r="D65" s="122"/>
      <c r="E65" s="122" t="s">
        <v>21</v>
      </c>
      <c r="F65" s="123"/>
    </row>
    <row r="66" spans="2:6" ht="26.5" customHeight="1" thickBot="1" x14ac:dyDescent="0.4">
      <c r="B66" s="67"/>
      <c r="C66" s="68" t="s">
        <v>53</v>
      </c>
      <c r="D66" s="68" t="s">
        <v>54</v>
      </c>
      <c r="E66" s="68" t="s">
        <v>53</v>
      </c>
      <c r="F66" s="68" t="s">
        <v>54</v>
      </c>
    </row>
    <row r="67" spans="2:6" ht="26.5" customHeight="1" thickBot="1" x14ac:dyDescent="0.4">
      <c r="B67" s="67" t="s">
        <v>55</v>
      </c>
      <c r="C67" s="69">
        <v>95.494065546218508</v>
      </c>
      <c r="D67" s="69">
        <v>114.30298915126052</v>
      </c>
      <c r="E67" s="69">
        <v>219.45406554621849</v>
      </c>
      <c r="F67" s="69">
        <v>277.42708915126047</v>
      </c>
    </row>
    <row r="68" spans="2:6" ht="26.5" customHeight="1" thickBot="1" x14ac:dyDescent="0.4">
      <c r="B68" s="67" t="s">
        <v>56</v>
      </c>
      <c r="C68" s="70">
        <v>9.3290000000000012E-2</v>
      </c>
      <c r="D68" s="70">
        <v>0.13159000000000001</v>
      </c>
      <c r="E68" s="70">
        <v>6.9140000000000007E-2</v>
      </c>
      <c r="F68" s="70">
        <v>0.10260999999999999</v>
      </c>
    </row>
    <row r="69" spans="2:6" ht="26.5" customHeight="1" thickBot="1" x14ac:dyDescent="0.4">
      <c r="B69" s="67" t="s">
        <v>57</v>
      </c>
      <c r="C69" s="71">
        <v>9.018000000000001E-2</v>
      </c>
      <c r="D69" s="71">
        <v>0.12786</v>
      </c>
      <c r="E69" s="71">
        <v>6.1759999999999995E-2</v>
      </c>
      <c r="F69" s="71">
        <v>9.376000000000001E-2</v>
      </c>
    </row>
    <row r="70" spans="2:6" ht="26.5" customHeight="1" thickBot="1" x14ac:dyDescent="0.4">
      <c r="B70" s="67" t="s">
        <v>58</v>
      </c>
      <c r="C70" s="70">
        <v>0.10001</v>
      </c>
      <c r="D70" s="70">
        <v>0.13966000000000001</v>
      </c>
      <c r="E70" s="70">
        <v>8.412E-2</v>
      </c>
      <c r="F70" s="70">
        <v>0.12059</v>
      </c>
    </row>
    <row r="71" spans="2:6" ht="26.5" customHeight="1" thickBot="1" x14ac:dyDescent="0.4"/>
    <row r="72" spans="2:6" ht="26.5" customHeight="1" thickBot="1" x14ac:dyDescent="0.4">
      <c r="B72" s="80">
        <v>45444</v>
      </c>
      <c r="C72" s="122" t="s">
        <v>24</v>
      </c>
      <c r="D72" s="122"/>
      <c r="E72" s="122" t="s">
        <v>21</v>
      </c>
      <c r="F72" s="123"/>
    </row>
    <row r="73" spans="2:6" ht="14" thickBot="1" x14ac:dyDescent="0.4">
      <c r="B73" s="67"/>
      <c r="C73" s="68" t="s">
        <v>53</v>
      </c>
      <c r="D73" s="68" t="s">
        <v>54</v>
      </c>
      <c r="E73" s="68" t="s">
        <v>53</v>
      </c>
      <c r="F73" s="68" t="s">
        <v>54</v>
      </c>
    </row>
    <row r="74" spans="2:6" ht="27.5" thickBot="1" x14ac:dyDescent="0.4">
      <c r="B74" s="67" t="s">
        <v>55</v>
      </c>
      <c r="C74" s="69">
        <v>87.12</v>
      </c>
      <c r="D74" s="69">
        <v>102.93635</v>
      </c>
      <c r="E74" s="69">
        <v>209.28</v>
      </c>
      <c r="F74" s="69">
        <v>257.17734999999999</v>
      </c>
    </row>
    <row r="75" spans="2:6" ht="41" thickBot="1" x14ac:dyDescent="0.4">
      <c r="B75" s="67" t="s">
        <v>56</v>
      </c>
      <c r="C75" s="70">
        <v>7.7469999999999997E-2</v>
      </c>
      <c r="D75" s="70">
        <v>0.11261</v>
      </c>
      <c r="E75" s="70">
        <v>5.9789999999999996E-2</v>
      </c>
      <c r="F75" s="70">
        <v>9.1400000000000009E-2</v>
      </c>
    </row>
    <row r="76" spans="2:6" ht="54.5" thickBot="1" x14ac:dyDescent="0.4">
      <c r="B76" s="67" t="s">
        <v>57</v>
      </c>
      <c r="C76" s="71">
        <v>7.4359999999999996E-2</v>
      </c>
      <c r="D76" s="71">
        <v>0.10887999999999999</v>
      </c>
      <c r="E76" s="71">
        <v>5.2420000000000001E-2</v>
      </c>
      <c r="F76" s="71">
        <v>8.2549999999999998E-2</v>
      </c>
    </row>
    <row r="77" spans="2:6" ht="54.5" thickBot="1" x14ac:dyDescent="0.4">
      <c r="B77" s="67" t="s">
        <v>58</v>
      </c>
      <c r="C77" s="70">
        <v>8.4199999999999997E-2</v>
      </c>
      <c r="D77" s="70">
        <v>0.12068000000000001</v>
      </c>
      <c r="E77" s="70">
        <v>7.4779999999999999E-2</v>
      </c>
      <c r="F77" s="70">
        <v>0.10937000000000001</v>
      </c>
    </row>
    <row r="78" spans="2:6" ht="14" thickBot="1" x14ac:dyDescent="0.4"/>
    <row r="79" spans="2:6" ht="14" thickBot="1" x14ac:dyDescent="0.4">
      <c r="B79" s="80">
        <v>45413</v>
      </c>
      <c r="C79" s="122" t="s">
        <v>24</v>
      </c>
      <c r="D79" s="122"/>
      <c r="E79" s="122" t="s">
        <v>21</v>
      </c>
      <c r="F79" s="123"/>
    </row>
    <row r="80" spans="2:6" ht="14" thickBot="1" x14ac:dyDescent="0.4">
      <c r="B80" s="67"/>
      <c r="C80" s="68" t="s">
        <v>53</v>
      </c>
      <c r="D80" s="68" t="s">
        <v>54</v>
      </c>
      <c r="E80" s="68" t="s">
        <v>53</v>
      </c>
      <c r="F80" s="68" t="s">
        <v>54</v>
      </c>
    </row>
    <row r="81" spans="2:6" ht="27.5" thickBot="1" x14ac:dyDescent="0.4">
      <c r="B81" s="67" t="s">
        <v>55</v>
      </c>
      <c r="C81" s="69">
        <v>87.12</v>
      </c>
      <c r="D81" s="69">
        <v>102.93635</v>
      </c>
      <c r="E81" s="69">
        <v>209.28</v>
      </c>
      <c r="F81" s="69">
        <v>257.17734999999999</v>
      </c>
    </row>
    <row r="82" spans="2:6" ht="41" thickBot="1" x14ac:dyDescent="0.4">
      <c r="B82" s="67" t="s">
        <v>56</v>
      </c>
      <c r="C82" s="70">
        <v>7.5810000000000002E-2</v>
      </c>
      <c r="D82" s="70">
        <v>0.11061</v>
      </c>
      <c r="E82" s="70">
        <v>5.8130000000000001E-2</v>
      </c>
      <c r="F82" s="70">
        <v>8.9400000000000007E-2</v>
      </c>
    </row>
    <row r="83" spans="2:6" ht="54.5" thickBot="1" x14ac:dyDescent="0.4">
      <c r="B83" s="67" t="s">
        <v>57</v>
      </c>
      <c r="C83" s="71">
        <v>7.2700000000000001E-2</v>
      </c>
      <c r="D83" s="71">
        <v>0.10687999999999999</v>
      </c>
      <c r="E83" s="71">
        <v>5.0750000000000003E-2</v>
      </c>
      <c r="F83" s="71">
        <v>8.0549999999999997E-2</v>
      </c>
    </row>
    <row r="84" spans="2:6" ht="54.5" thickBot="1" x14ac:dyDescent="0.4">
      <c r="B84" s="67" t="s">
        <v>58</v>
      </c>
      <c r="C84" s="70">
        <v>8.2530000000000006E-2</v>
      </c>
      <c r="D84" s="70">
        <v>0.11868000000000001</v>
      </c>
      <c r="E84" s="70">
        <v>7.3109999999999994E-2</v>
      </c>
      <c r="F84" s="70">
        <v>0.10737999999999999</v>
      </c>
    </row>
    <row r="85" spans="2:6" ht="14" thickBot="1" x14ac:dyDescent="0.4"/>
    <row r="86" spans="2:6" ht="14" thickBot="1" x14ac:dyDescent="0.4">
      <c r="B86" s="80">
        <v>45383</v>
      </c>
      <c r="C86" s="122" t="s">
        <v>24</v>
      </c>
      <c r="D86" s="122"/>
      <c r="E86" s="122" t="s">
        <v>21</v>
      </c>
      <c r="F86" s="123"/>
    </row>
    <row r="87" spans="2:6" ht="14" thickBot="1" x14ac:dyDescent="0.4">
      <c r="B87" s="67"/>
      <c r="C87" s="68" t="s">
        <v>53</v>
      </c>
      <c r="D87" s="68" t="s">
        <v>54</v>
      </c>
      <c r="E87" s="68" t="s">
        <v>53</v>
      </c>
      <c r="F87" s="68" t="s">
        <v>54</v>
      </c>
    </row>
    <row r="88" spans="2:6" ht="27.5" thickBot="1" x14ac:dyDescent="0.4">
      <c r="B88" s="67" t="s">
        <v>55</v>
      </c>
      <c r="C88" s="69">
        <v>87.12</v>
      </c>
      <c r="D88" s="69">
        <v>102.93635</v>
      </c>
      <c r="E88" s="69">
        <v>209.28</v>
      </c>
      <c r="F88" s="69">
        <v>257.17734999999999</v>
      </c>
    </row>
    <row r="89" spans="2:6" ht="41" thickBot="1" x14ac:dyDescent="0.4">
      <c r="B89" s="67" t="s">
        <v>56</v>
      </c>
      <c r="C89" s="70">
        <v>7.4579999999999994E-2</v>
      </c>
      <c r="D89" s="70">
        <v>0.10914</v>
      </c>
      <c r="E89" s="70">
        <v>5.6899999999999999E-2</v>
      </c>
      <c r="F89" s="70">
        <v>8.7919999999999998E-2</v>
      </c>
    </row>
    <row r="90" spans="2:6" ht="54.5" thickBot="1" x14ac:dyDescent="0.4">
      <c r="B90" s="67" t="s">
        <v>57</v>
      </c>
      <c r="C90" s="71">
        <v>7.1470000000000006E-2</v>
      </c>
      <c r="D90" s="71">
        <v>0.10540000000000001</v>
      </c>
      <c r="E90" s="71">
        <v>4.9520000000000002E-2</v>
      </c>
      <c r="F90" s="71">
        <v>7.9069999999999988E-2</v>
      </c>
    </row>
    <row r="91" spans="2:6" ht="54.5" thickBot="1" x14ac:dyDescent="0.4">
      <c r="B91" s="67" t="s">
        <v>58</v>
      </c>
      <c r="C91" s="70">
        <v>8.1299999999999997E-2</v>
      </c>
      <c r="D91" s="70">
        <v>0.1172</v>
      </c>
      <c r="E91" s="70">
        <v>7.1879999999999999E-2</v>
      </c>
      <c r="F91" s="70">
        <v>0.10590000000000001</v>
      </c>
    </row>
    <row r="92" spans="2:6" ht="14" thickBot="1" x14ac:dyDescent="0.4"/>
    <row r="93" spans="2:6" ht="14" thickBot="1" x14ac:dyDescent="0.4">
      <c r="B93" s="80">
        <v>45352</v>
      </c>
      <c r="C93" s="122" t="s">
        <v>24</v>
      </c>
      <c r="D93" s="122"/>
      <c r="E93" s="122" t="s">
        <v>21</v>
      </c>
      <c r="F93" s="123"/>
    </row>
    <row r="94" spans="2:6" ht="14" thickBot="1" x14ac:dyDescent="0.4">
      <c r="B94" s="67"/>
      <c r="C94" s="68" t="s">
        <v>53</v>
      </c>
      <c r="D94" s="68" t="s">
        <v>54</v>
      </c>
      <c r="E94" s="68" t="s">
        <v>53</v>
      </c>
      <c r="F94" s="68" t="s">
        <v>54</v>
      </c>
    </row>
    <row r="95" spans="2:6" ht="27.5" thickBot="1" x14ac:dyDescent="0.4">
      <c r="B95" s="67" t="s">
        <v>55</v>
      </c>
      <c r="C95" s="69">
        <v>87.12</v>
      </c>
      <c r="D95" s="69">
        <v>102.93635</v>
      </c>
      <c r="E95" s="69">
        <v>209.28</v>
      </c>
      <c r="F95" s="69">
        <v>257.17734999999999</v>
      </c>
    </row>
    <row r="96" spans="2:6" ht="41" thickBot="1" x14ac:dyDescent="0.4">
      <c r="B96" s="67" t="s">
        <v>56</v>
      </c>
      <c r="C96" s="70">
        <v>8.0170000000000005E-2</v>
      </c>
      <c r="D96" s="70">
        <v>0.11584999999999999</v>
      </c>
      <c r="E96" s="70">
        <v>6.1060000000000003E-2</v>
      </c>
      <c r="F96" s="70">
        <v>9.2909999999999993E-2</v>
      </c>
    </row>
    <row r="97" spans="2:6" ht="54.5" thickBot="1" x14ac:dyDescent="0.4">
      <c r="B97" s="67" t="s">
        <v>57</v>
      </c>
      <c r="C97" s="71">
        <v>7.7640000000000001E-2</v>
      </c>
      <c r="D97" s="71">
        <v>0.11281000000000001</v>
      </c>
      <c r="E97" s="71">
        <v>5.5149999999999998E-2</v>
      </c>
      <c r="F97" s="71">
        <v>8.5819999999999994E-2</v>
      </c>
    </row>
    <row r="98" spans="2:6" ht="54.5" thickBot="1" x14ac:dyDescent="0.4">
      <c r="B98" s="67" t="s">
        <v>58</v>
      </c>
      <c r="C98" s="70">
        <v>8.566E-2</v>
      </c>
      <c r="D98" s="70">
        <v>0.12243999999999999</v>
      </c>
      <c r="E98" s="70">
        <v>7.3050000000000004E-2</v>
      </c>
      <c r="F98" s="70">
        <v>0.10731</v>
      </c>
    </row>
    <row r="99" spans="2:6" ht="14" thickBot="1" x14ac:dyDescent="0.4"/>
    <row r="100" spans="2:6" ht="14" thickBot="1" x14ac:dyDescent="0.4">
      <c r="B100" s="80">
        <v>45323</v>
      </c>
      <c r="C100" s="122" t="s">
        <v>24</v>
      </c>
      <c r="D100" s="122"/>
      <c r="E100" s="122" t="s">
        <v>21</v>
      </c>
      <c r="F100" s="123"/>
    </row>
    <row r="101" spans="2:6" ht="14" thickBot="1" x14ac:dyDescent="0.4">
      <c r="B101" s="67"/>
      <c r="C101" s="68" t="s">
        <v>53</v>
      </c>
      <c r="D101" s="68" t="s">
        <v>54</v>
      </c>
      <c r="E101" s="68" t="s">
        <v>53</v>
      </c>
      <c r="F101" s="68" t="s">
        <v>54</v>
      </c>
    </row>
    <row r="102" spans="2:6" ht="27.5" thickBot="1" x14ac:dyDescent="0.4">
      <c r="B102" s="67" t="s">
        <v>55</v>
      </c>
      <c r="C102" s="69">
        <v>87.12</v>
      </c>
      <c r="D102" s="69">
        <v>102.93635</v>
      </c>
      <c r="E102" s="69">
        <v>209.28</v>
      </c>
      <c r="F102" s="69">
        <v>257.17734999999999</v>
      </c>
    </row>
    <row r="103" spans="2:6" ht="41" thickBot="1" x14ac:dyDescent="0.4">
      <c r="B103" s="67" t="s">
        <v>56</v>
      </c>
      <c r="C103" s="70">
        <v>8.4830000000000003E-2</v>
      </c>
      <c r="D103" s="70">
        <v>0.12143999999999999</v>
      </c>
      <c r="E103" s="70">
        <v>6.5720000000000001E-2</v>
      </c>
      <c r="F103" s="70">
        <v>9.851E-2</v>
      </c>
    </row>
    <row r="104" spans="2:6" ht="54.5" thickBot="1" x14ac:dyDescent="0.4">
      <c r="B104" s="67" t="s">
        <v>57</v>
      </c>
      <c r="C104" s="71">
        <v>8.2299999999999998E-2</v>
      </c>
      <c r="D104" s="71">
        <v>0.11840000000000001</v>
      </c>
      <c r="E104" s="71">
        <v>5.9810000000000002E-2</v>
      </c>
      <c r="F104" s="71">
        <v>9.1420000000000001E-2</v>
      </c>
    </row>
    <row r="105" spans="2:6" ht="54.5" thickBot="1" x14ac:dyDescent="0.4">
      <c r="B105" s="67" t="s">
        <v>58</v>
      </c>
      <c r="C105" s="70">
        <v>9.0319999999999998E-2</v>
      </c>
      <c r="D105" s="70">
        <v>0.12803</v>
      </c>
      <c r="E105" s="70">
        <v>7.7719999999999997E-2</v>
      </c>
      <c r="F105" s="70">
        <v>0.11291</v>
      </c>
    </row>
    <row r="106" spans="2:6" ht="14" thickBot="1" x14ac:dyDescent="0.4"/>
    <row r="107" spans="2:6" ht="14" thickBot="1" x14ac:dyDescent="0.4">
      <c r="B107" s="80">
        <v>45292</v>
      </c>
      <c r="C107" s="122" t="s">
        <v>24</v>
      </c>
      <c r="D107" s="122"/>
      <c r="E107" s="122" t="s">
        <v>21</v>
      </c>
      <c r="F107" s="123"/>
    </row>
    <row r="108" spans="2:6" ht="14" thickBot="1" x14ac:dyDescent="0.4">
      <c r="B108" s="67"/>
      <c r="C108" s="68" t="s">
        <v>53</v>
      </c>
      <c r="D108" s="68" t="s">
        <v>54</v>
      </c>
      <c r="E108" s="68" t="s">
        <v>53</v>
      </c>
      <c r="F108" s="68" t="s">
        <v>54</v>
      </c>
    </row>
    <row r="109" spans="2:6" ht="27.5" thickBot="1" x14ac:dyDescent="0.4">
      <c r="B109" s="67" t="s">
        <v>55</v>
      </c>
      <c r="C109" s="69">
        <v>87.12</v>
      </c>
      <c r="D109" s="69">
        <v>102.93635</v>
      </c>
      <c r="E109" s="69">
        <v>209.28</v>
      </c>
      <c r="F109" s="69">
        <v>257.17734999999999</v>
      </c>
    </row>
    <row r="110" spans="2:6" ht="41" thickBot="1" x14ac:dyDescent="0.4">
      <c r="B110" s="67" t="s">
        <v>56</v>
      </c>
      <c r="C110" s="70">
        <v>9.398999999999999E-2</v>
      </c>
      <c r="D110" s="70">
        <v>0.13244</v>
      </c>
      <c r="E110" s="70">
        <v>7.4880000000000002E-2</v>
      </c>
      <c r="F110" s="70">
        <v>0.1095</v>
      </c>
    </row>
    <row r="111" spans="2:6" ht="54.5" thickBot="1" x14ac:dyDescent="0.4">
      <c r="B111" s="67" t="s">
        <v>57</v>
      </c>
      <c r="C111" s="71">
        <v>9.146E-2</v>
      </c>
      <c r="D111" s="71">
        <v>0.12940000000000002</v>
      </c>
      <c r="E111" s="71">
        <v>6.8970000000000004E-2</v>
      </c>
      <c r="F111" s="71">
        <v>0.10241</v>
      </c>
    </row>
    <row r="112" spans="2:6" ht="54.5" thickBot="1" x14ac:dyDescent="0.4">
      <c r="B112" s="67" t="s">
        <v>58</v>
      </c>
      <c r="C112" s="70">
        <v>9.9479999999999999E-2</v>
      </c>
      <c r="D112" s="70">
        <v>0.13902</v>
      </c>
      <c r="E112" s="70">
        <v>8.6879999999999999E-2</v>
      </c>
      <c r="F112" s="70">
        <v>0.12390000000000001</v>
      </c>
    </row>
    <row r="113" spans="2:6" ht="14" thickBot="1" x14ac:dyDescent="0.4"/>
    <row r="114" spans="2:6" ht="14" thickBot="1" x14ac:dyDescent="0.4">
      <c r="B114" s="80">
        <v>45261</v>
      </c>
      <c r="C114" s="122" t="s">
        <v>24</v>
      </c>
      <c r="D114" s="122"/>
      <c r="E114" s="122" t="s">
        <v>21</v>
      </c>
      <c r="F114" s="123"/>
    </row>
    <row r="115" spans="2:6" ht="14" thickBot="1" x14ac:dyDescent="0.4">
      <c r="B115" s="67"/>
      <c r="C115" s="68" t="s">
        <v>53</v>
      </c>
      <c r="D115" s="68" t="s">
        <v>54</v>
      </c>
      <c r="E115" s="68" t="s">
        <v>53</v>
      </c>
      <c r="F115" s="68" t="s">
        <v>54</v>
      </c>
    </row>
    <row r="116" spans="2:6" ht="27.5" thickBot="1" x14ac:dyDescent="0.4">
      <c r="B116" s="67" t="s">
        <v>55</v>
      </c>
      <c r="C116" s="69">
        <v>87.12</v>
      </c>
      <c r="D116" s="69">
        <v>102.93635</v>
      </c>
      <c r="E116" s="69">
        <v>209.28</v>
      </c>
      <c r="F116" s="69">
        <v>257.17734999999999</v>
      </c>
    </row>
    <row r="117" spans="2:6" ht="41" thickBot="1" x14ac:dyDescent="0.4">
      <c r="B117" s="67" t="s">
        <v>56</v>
      </c>
      <c r="C117" s="70">
        <v>9.7459999999999991E-2</v>
      </c>
      <c r="D117" s="70">
        <v>0.12698999999999999</v>
      </c>
      <c r="E117" s="70">
        <v>7.8349999999999989E-2</v>
      </c>
      <c r="F117" s="70">
        <v>0.10406</v>
      </c>
    </row>
    <row r="118" spans="2:6" ht="54.5" thickBot="1" x14ac:dyDescent="0.4">
      <c r="B118" s="67" t="s">
        <v>57</v>
      </c>
      <c r="C118" s="71">
        <v>9.4920000000000004E-2</v>
      </c>
      <c r="D118" s="71">
        <v>0.12395</v>
      </c>
      <c r="E118" s="71">
        <v>7.2430000000000008E-2</v>
      </c>
      <c r="F118" s="71">
        <v>9.6970000000000001E-2</v>
      </c>
    </row>
    <row r="119" spans="2:6" ht="54.5" thickBot="1" x14ac:dyDescent="0.4">
      <c r="B119" s="67" t="s">
        <v>58</v>
      </c>
      <c r="C119" s="70">
        <v>0.10295</v>
      </c>
      <c r="D119" s="70">
        <v>0.13358</v>
      </c>
      <c r="E119" s="70">
        <v>9.0340000000000004E-2</v>
      </c>
      <c r="F119" s="70">
        <v>0.11846</v>
      </c>
    </row>
    <row r="120" spans="2:6" ht="14" thickBot="1" x14ac:dyDescent="0.4"/>
    <row r="121" spans="2:6" ht="14" thickBot="1" x14ac:dyDescent="0.4">
      <c r="B121" s="80">
        <v>45231</v>
      </c>
      <c r="C121" s="122" t="s">
        <v>24</v>
      </c>
      <c r="D121" s="122"/>
      <c r="E121" s="122" t="s">
        <v>21</v>
      </c>
      <c r="F121" s="123"/>
    </row>
    <row r="122" spans="2:6" ht="14" thickBot="1" x14ac:dyDescent="0.4">
      <c r="B122" s="67"/>
      <c r="C122" s="68" t="s">
        <v>53</v>
      </c>
      <c r="D122" s="68" t="s">
        <v>54</v>
      </c>
      <c r="E122" s="68" t="s">
        <v>53</v>
      </c>
      <c r="F122" s="68" t="s">
        <v>54</v>
      </c>
    </row>
    <row r="123" spans="2:6" ht="27.5" thickBot="1" x14ac:dyDescent="0.4">
      <c r="B123" s="67" t="s">
        <v>55</v>
      </c>
      <c r="C123" s="69">
        <v>87.12</v>
      </c>
      <c r="D123" s="69">
        <v>102.93635</v>
      </c>
      <c r="E123" s="69">
        <v>209.28</v>
      </c>
      <c r="F123" s="69">
        <v>257.17734999999999</v>
      </c>
    </row>
    <row r="124" spans="2:6" ht="41" thickBot="1" x14ac:dyDescent="0.4">
      <c r="B124" s="67" t="s">
        <v>56</v>
      </c>
      <c r="C124" s="70">
        <v>9.2269999999999991E-2</v>
      </c>
      <c r="D124" s="70">
        <v>0.12077</v>
      </c>
      <c r="E124" s="70">
        <v>7.3160000000000003E-2</v>
      </c>
      <c r="F124" s="70">
        <v>9.784000000000001E-2</v>
      </c>
    </row>
    <row r="125" spans="2:6" ht="54.5" thickBot="1" x14ac:dyDescent="0.4">
      <c r="B125" s="67" t="s">
        <v>57</v>
      </c>
      <c r="C125" s="71">
        <v>8.974E-2</v>
      </c>
      <c r="D125" s="71">
        <v>0.11773</v>
      </c>
      <c r="E125" s="71">
        <v>6.7250000000000004E-2</v>
      </c>
      <c r="F125" s="71">
        <v>9.0749999999999997E-2</v>
      </c>
    </row>
    <row r="126" spans="2:6" ht="54.5" thickBot="1" x14ac:dyDescent="0.4">
      <c r="B126" s="67" t="s">
        <v>58</v>
      </c>
      <c r="C126" s="70">
        <v>9.776E-2</v>
      </c>
      <c r="D126" s="70">
        <v>0.12736</v>
      </c>
      <c r="E126" s="70">
        <v>8.516E-2</v>
      </c>
      <c r="F126" s="70">
        <v>0.11223000000000001</v>
      </c>
    </row>
    <row r="127" spans="2:6" ht="14" thickBot="1" x14ac:dyDescent="0.4"/>
    <row r="128" spans="2:6" ht="14" thickBot="1" x14ac:dyDescent="0.4">
      <c r="B128" s="80">
        <v>45200</v>
      </c>
      <c r="C128" s="122" t="s">
        <v>24</v>
      </c>
      <c r="D128" s="122"/>
      <c r="E128" s="122" t="s">
        <v>21</v>
      </c>
      <c r="F128" s="123"/>
    </row>
    <row r="129" spans="2:6" ht="14" thickBot="1" x14ac:dyDescent="0.4">
      <c r="B129" s="67"/>
      <c r="C129" s="68" t="s">
        <v>53</v>
      </c>
      <c r="D129" s="68" t="s">
        <v>54</v>
      </c>
      <c r="E129" s="68" t="s">
        <v>53</v>
      </c>
      <c r="F129" s="68" t="s">
        <v>54</v>
      </c>
    </row>
    <row r="130" spans="2:6" ht="27.5" thickBot="1" x14ac:dyDescent="0.4">
      <c r="B130" s="67" t="s">
        <v>55</v>
      </c>
      <c r="C130" s="69">
        <v>87.12</v>
      </c>
      <c r="D130" s="69">
        <v>102.93635</v>
      </c>
      <c r="E130" s="69">
        <v>209.28</v>
      </c>
      <c r="F130" s="69">
        <v>257.17734999999999</v>
      </c>
    </row>
    <row r="131" spans="2:6" ht="41" thickBot="1" x14ac:dyDescent="0.4">
      <c r="B131" s="67" t="s">
        <v>56</v>
      </c>
      <c r="C131" s="70">
        <v>8.8439999999999991E-2</v>
      </c>
      <c r="D131" s="70">
        <v>0.11617</v>
      </c>
      <c r="E131" s="70">
        <v>6.9330000000000003E-2</v>
      </c>
      <c r="F131" s="70">
        <v>9.323999999999999E-2</v>
      </c>
    </row>
    <row r="132" spans="2:6" ht="54.5" thickBot="1" x14ac:dyDescent="0.4">
      <c r="B132" s="67" t="s">
        <v>57</v>
      </c>
      <c r="C132" s="71">
        <v>8.591E-2</v>
      </c>
      <c r="D132" s="71">
        <v>0.11312999999999999</v>
      </c>
      <c r="E132" s="71">
        <v>6.3420000000000004E-2</v>
      </c>
      <c r="F132" s="71">
        <v>8.6150000000000004E-2</v>
      </c>
    </row>
    <row r="133" spans="2:6" ht="54.5" thickBot="1" x14ac:dyDescent="0.4">
      <c r="B133" s="67" t="s">
        <v>58</v>
      </c>
      <c r="C133" s="70">
        <v>9.3930000000000013E-2</v>
      </c>
      <c r="D133" s="70">
        <v>0.12276000000000001</v>
      </c>
      <c r="E133" s="70">
        <v>8.133E-2</v>
      </c>
      <c r="F133" s="70">
        <v>0.10764</v>
      </c>
    </row>
    <row r="134" spans="2:6" ht="14" thickBot="1" x14ac:dyDescent="0.4"/>
    <row r="135" spans="2:6" ht="14" thickBot="1" x14ac:dyDescent="0.4">
      <c r="B135" s="80">
        <v>45170</v>
      </c>
      <c r="C135" s="122" t="s">
        <v>24</v>
      </c>
      <c r="D135" s="122"/>
      <c r="E135" s="122" t="s">
        <v>21</v>
      </c>
      <c r="F135" s="123"/>
    </row>
    <row r="136" spans="2:6" ht="14" thickBot="1" x14ac:dyDescent="0.4">
      <c r="B136" s="67"/>
      <c r="C136" s="68" t="s">
        <v>53</v>
      </c>
      <c r="D136" s="68" t="s">
        <v>54</v>
      </c>
      <c r="E136" s="68" t="s">
        <v>53</v>
      </c>
      <c r="F136" s="68" t="s">
        <v>54</v>
      </c>
    </row>
    <row r="137" spans="2:6" ht="27.5" thickBot="1" x14ac:dyDescent="0.4">
      <c r="B137" s="67" t="s">
        <v>55</v>
      </c>
      <c r="C137" s="69">
        <v>87.12</v>
      </c>
      <c r="D137" s="69">
        <v>102.93635</v>
      </c>
      <c r="E137" s="69">
        <v>209.28</v>
      </c>
      <c r="F137" s="69">
        <v>257.17734999999999</v>
      </c>
    </row>
    <row r="138" spans="2:6" ht="41" thickBot="1" x14ac:dyDescent="0.4">
      <c r="B138" s="67" t="s">
        <v>56</v>
      </c>
      <c r="C138" s="70">
        <v>7.9230000000000009E-2</v>
      </c>
      <c r="D138" s="70">
        <v>0.10512000000000001</v>
      </c>
      <c r="E138" s="70">
        <v>6.012E-2</v>
      </c>
      <c r="F138" s="70">
        <v>8.2180000000000003E-2</v>
      </c>
    </row>
    <row r="139" spans="2:6" ht="54.5" thickBot="1" x14ac:dyDescent="0.4">
      <c r="B139" s="67" t="s">
        <v>57</v>
      </c>
      <c r="C139" s="71">
        <v>7.6689999999999994E-2</v>
      </c>
      <c r="D139" s="71">
        <v>0.10208</v>
      </c>
      <c r="E139" s="71">
        <v>5.4200000000000005E-2</v>
      </c>
      <c r="F139" s="71">
        <v>7.5090000000000004E-2</v>
      </c>
    </row>
    <row r="140" spans="2:6" ht="54.5" thickBot="1" x14ac:dyDescent="0.4">
      <c r="B140" s="67" t="s">
        <v>58</v>
      </c>
      <c r="C140" s="70">
        <v>8.4720000000000004E-2</v>
      </c>
      <c r="D140" s="70">
        <v>0.11170999999999999</v>
      </c>
      <c r="E140" s="70">
        <v>7.2109999999999994E-2</v>
      </c>
      <c r="F140" s="70">
        <v>9.6579999999999999E-2</v>
      </c>
    </row>
    <row r="141" spans="2:6" ht="14" thickBot="1" x14ac:dyDescent="0.4"/>
    <row r="142" spans="2:6" ht="14" thickBot="1" x14ac:dyDescent="0.4">
      <c r="B142" s="80">
        <v>45139</v>
      </c>
      <c r="C142" s="122" t="s">
        <v>24</v>
      </c>
      <c r="D142" s="122"/>
      <c r="E142" s="122" t="s">
        <v>21</v>
      </c>
      <c r="F142" s="123"/>
    </row>
    <row r="143" spans="2:6" ht="14" thickBot="1" x14ac:dyDescent="0.4">
      <c r="B143" s="67"/>
      <c r="C143" s="68" t="s">
        <v>53</v>
      </c>
      <c r="D143" s="68" t="s">
        <v>54</v>
      </c>
      <c r="E143" s="68" t="s">
        <v>53</v>
      </c>
      <c r="F143" s="68" t="s">
        <v>54</v>
      </c>
    </row>
    <row r="144" spans="2:6" ht="27.5" thickBot="1" x14ac:dyDescent="0.4">
      <c r="B144" s="67" t="s">
        <v>55</v>
      </c>
      <c r="C144" s="69">
        <v>87.12</v>
      </c>
      <c r="D144" s="69">
        <v>102.94</v>
      </c>
      <c r="E144" s="69">
        <v>209.28</v>
      </c>
      <c r="F144" s="69">
        <v>257.18</v>
      </c>
    </row>
    <row r="145" spans="2:6" ht="41" thickBot="1" x14ac:dyDescent="0.4">
      <c r="B145" s="67" t="s">
        <v>56</v>
      </c>
      <c r="C145" s="70">
        <v>8.0799999999999997E-2</v>
      </c>
      <c r="D145" s="70">
        <v>0.107</v>
      </c>
      <c r="E145" s="70">
        <v>6.1679999999999999E-2</v>
      </c>
      <c r="F145" s="70">
        <v>8.4059999999999996E-2</v>
      </c>
    </row>
    <row r="146" spans="2:6" ht="54.5" thickBot="1" x14ac:dyDescent="0.4">
      <c r="B146" s="67" t="s">
        <v>57</v>
      </c>
      <c r="C146" s="71">
        <v>7.8259999999999996E-2</v>
      </c>
      <c r="D146" s="71">
        <v>0.10396</v>
      </c>
      <c r="E146" s="71">
        <v>5.577E-2</v>
      </c>
      <c r="F146" s="71">
        <v>7.6969999999999997E-2</v>
      </c>
    </row>
    <row r="147" spans="2:6" ht="54.5" thickBot="1" x14ac:dyDescent="0.4">
      <c r="B147" s="67" t="s">
        <v>58</v>
      </c>
      <c r="C147" s="70">
        <v>8.6290000000000006E-2</v>
      </c>
      <c r="D147" s="70">
        <v>0.11359</v>
      </c>
      <c r="E147" s="70">
        <v>7.3679999999999995E-2</v>
      </c>
      <c r="F147" s="70">
        <v>9.8460000000000006E-2</v>
      </c>
    </row>
    <row r="148" spans="2:6" ht="14" thickBot="1" x14ac:dyDescent="0.4"/>
    <row r="149" spans="2:6" ht="14" thickBot="1" x14ac:dyDescent="0.4">
      <c r="B149" s="80">
        <v>45108</v>
      </c>
      <c r="C149" s="122" t="s">
        <v>24</v>
      </c>
      <c r="D149" s="122"/>
      <c r="E149" s="122" t="s">
        <v>21</v>
      </c>
      <c r="F149" s="123"/>
    </row>
    <row r="150" spans="2:6" ht="14" thickBot="1" x14ac:dyDescent="0.4">
      <c r="B150" s="67"/>
      <c r="C150" s="68" t="s">
        <v>53</v>
      </c>
      <c r="D150" s="68" t="s">
        <v>54</v>
      </c>
      <c r="E150" s="68" t="s">
        <v>53</v>
      </c>
      <c r="F150" s="68" t="s">
        <v>54</v>
      </c>
    </row>
    <row r="151" spans="2:6" ht="27.5" thickBot="1" x14ac:dyDescent="0.4">
      <c r="B151" s="67" t="s">
        <v>55</v>
      </c>
      <c r="C151" s="69">
        <v>87.12</v>
      </c>
      <c r="D151" s="69">
        <v>102.94</v>
      </c>
      <c r="E151" s="69">
        <v>209.28</v>
      </c>
      <c r="F151" s="69">
        <v>257.18</v>
      </c>
    </row>
    <row r="152" spans="2:6" ht="41" thickBot="1" x14ac:dyDescent="0.4">
      <c r="B152" s="67" t="s">
        <v>56</v>
      </c>
      <c r="C152" s="70">
        <v>7.9030000000000003E-2</v>
      </c>
      <c r="D152" s="70">
        <v>0.10488</v>
      </c>
      <c r="E152" s="70">
        <v>5.9920000000000001E-2</v>
      </c>
      <c r="F152" s="70">
        <v>8.1949999999999995E-2</v>
      </c>
    </row>
    <row r="153" spans="2:6" ht="54.5" thickBot="1" x14ac:dyDescent="0.4">
      <c r="B153" s="67" t="s">
        <v>57</v>
      </c>
      <c r="C153" s="71">
        <v>7.6499999999999999E-2</v>
      </c>
      <c r="D153" s="71">
        <v>0.10184</v>
      </c>
      <c r="E153" s="71">
        <v>5.4010000000000002E-2</v>
      </c>
      <c r="F153" s="71">
        <v>7.485E-2</v>
      </c>
    </row>
    <row r="154" spans="2:6" ht="54.5" thickBot="1" x14ac:dyDescent="0.4">
      <c r="B154" s="67" t="s">
        <v>58</v>
      </c>
      <c r="C154" s="70">
        <v>8.4519999999999998E-2</v>
      </c>
      <c r="D154" s="70">
        <v>0.11147</v>
      </c>
      <c r="E154" s="70">
        <v>7.1919999999999998E-2</v>
      </c>
      <c r="F154" s="70">
        <v>9.6339999999999995E-2</v>
      </c>
    </row>
    <row r="155" spans="2:6" ht="14" thickBot="1" x14ac:dyDescent="0.4"/>
    <row r="156" spans="2:6" ht="14" thickBot="1" x14ac:dyDescent="0.4">
      <c r="B156" s="80">
        <v>45078</v>
      </c>
      <c r="C156" s="122" t="s">
        <v>24</v>
      </c>
      <c r="D156" s="122"/>
      <c r="E156" s="122" t="s">
        <v>21</v>
      </c>
      <c r="F156" s="123"/>
    </row>
    <row r="157" spans="2:6" ht="14" thickBot="1" x14ac:dyDescent="0.4">
      <c r="B157" s="67"/>
      <c r="C157" s="68" t="s">
        <v>53</v>
      </c>
      <c r="D157" s="68" t="s">
        <v>54</v>
      </c>
      <c r="E157" s="68" t="s">
        <v>53</v>
      </c>
      <c r="F157" s="68" t="s">
        <v>54</v>
      </c>
    </row>
    <row r="158" spans="2:6" ht="27.5" thickBot="1" x14ac:dyDescent="0.4">
      <c r="B158" s="67" t="s">
        <v>55</v>
      </c>
      <c r="C158" s="69">
        <v>85.32</v>
      </c>
      <c r="D158" s="69">
        <v>100.58</v>
      </c>
      <c r="E158" s="69">
        <v>203.4</v>
      </c>
      <c r="F158" s="69">
        <v>249.48</v>
      </c>
    </row>
    <row r="159" spans="2:6" ht="41" thickBot="1" x14ac:dyDescent="0.4">
      <c r="B159" s="67" t="s">
        <v>56</v>
      </c>
      <c r="C159" s="70">
        <v>8.8459999999999997E-2</v>
      </c>
      <c r="D159" s="70">
        <v>0.1162</v>
      </c>
      <c r="E159" s="70">
        <v>7.0349999999999996E-2</v>
      </c>
      <c r="F159" s="70">
        <v>9.4460000000000002E-2</v>
      </c>
    </row>
    <row r="160" spans="2:6" ht="54.5" thickBot="1" x14ac:dyDescent="0.4">
      <c r="B160" s="67" t="s">
        <v>57</v>
      </c>
      <c r="C160" s="71">
        <v>8.5930000000000006E-2</v>
      </c>
      <c r="D160" s="71">
        <v>0.11316</v>
      </c>
      <c r="E160" s="71">
        <v>6.4439999999999997E-2</v>
      </c>
      <c r="F160" s="71">
        <v>8.7370000000000003E-2</v>
      </c>
    </row>
    <row r="161" spans="2:6" ht="54.5" thickBot="1" x14ac:dyDescent="0.4">
      <c r="B161" s="67" t="s">
        <v>58</v>
      </c>
      <c r="C161" s="70">
        <v>9.3950000000000006E-2</v>
      </c>
      <c r="D161" s="70">
        <v>0.12278</v>
      </c>
      <c r="E161" s="70">
        <v>8.2350000000000007E-2</v>
      </c>
      <c r="F161" s="70">
        <v>0.10886</v>
      </c>
    </row>
  </sheetData>
  <mergeCells count="46">
    <mergeCell ref="C9:D9"/>
    <mergeCell ref="E9:F9"/>
    <mergeCell ref="C2:D2"/>
    <mergeCell ref="E2:F2"/>
    <mergeCell ref="C16:D16"/>
    <mergeCell ref="E16:F16"/>
    <mergeCell ref="C23:D23"/>
    <mergeCell ref="E23:F23"/>
    <mergeCell ref="E156:F156"/>
    <mergeCell ref="E149:F149"/>
    <mergeCell ref="E142:F142"/>
    <mergeCell ref="E135:F135"/>
    <mergeCell ref="E128:F128"/>
    <mergeCell ref="C156:D156"/>
    <mergeCell ref="C135:D135"/>
    <mergeCell ref="C142:D142"/>
    <mergeCell ref="C149:D149"/>
    <mergeCell ref="C114:D114"/>
    <mergeCell ref="C121:D121"/>
    <mergeCell ref="C128:D128"/>
    <mergeCell ref="E86:F86"/>
    <mergeCell ref="E79:F79"/>
    <mergeCell ref="C30:D30"/>
    <mergeCell ref="E30:F30"/>
    <mergeCell ref="C37:D37"/>
    <mergeCell ref="E37:F37"/>
    <mergeCell ref="E72:F72"/>
    <mergeCell ref="E58:F58"/>
    <mergeCell ref="C44:D44"/>
    <mergeCell ref="E44:F44"/>
    <mergeCell ref="C65:D65"/>
    <mergeCell ref="C72:D72"/>
    <mergeCell ref="C51:D51"/>
    <mergeCell ref="E51:F51"/>
    <mergeCell ref="C58:D58"/>
    <mergeCell ref="E65:F65"/>
    <mergeCell ref="E121:F121"/>
    <mergeCell ref="E114:F114"/>
    <mergeCell ref="E107:F107"/>
    <mergeCell ref="E100:F100"/>
    <mergeCell ref="E93:F93"/>
    <mergeCell ref="C100:D100"/>
    <mergeCell ref="C107:D107"/>
    <mergeCell ref="C79:D79"/>
    <mergeCell ref="C86:D86"/>
    <mergeCell ref="C93:D9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C1DB0-2ED5-4742-9E12-3E8463D42229}">
  <sheetPr>
    <tabColor theme="8"/>
  </sheetPr>
  <dimension ref="A1:N27"/>
  <sheetViews>
    <sheetView tabSelected="1" zoomScale="79" zoomScaleNormal="55" workbookViewId="0">
      <selection activeCell="B21" sqref="B21"/>
    </sheetView>
  </sheetViews>
  <sheetFormatPr baseColWidth="10" defaultRowHeight="13.5" x14ac:dyDescent="0.35"/>
  <cols>
    <col min="1" max="1" width="13.75" bestFit="1" customWidth="1"/>
    <col min="2" max="2" width="28.5" customWidth="1"/>
    <col min="3" max="3" width="30.25" customWidth="1"/>
    <col min="5" max="10" width="12.1640625" customWidth="1"/>
  </cols>
  <sheetData>
    <row r="1" spans="1:14" ht="26.5" customHeight="1" thickBot="1" x14ac:dyDescent="0.4">
      <c r="A1" s="81" t="s">
        <v>64</v>
      </c>
      <c r="B1" s="81" t="s">
        <v>67</v>
      </c>
      <c r="C1" s="81" t="s">
        <v>66</v>
      </c>
      <c r="E1" s="118" t="s">
        <v>63</v>
      </c>
      <c r="F1" s="119"/>
      <c r="G1" s="119"/>
      <c r="H1" s="119"/>
      <c r="I1" s="119"/>
      <c r="J1" s="119"/>
      <c r="K1" s="119"/>
      <c r="L1" s="119"/>
      <c r="M1" s="119"/>
      <c r="N1" s="120"/>
    </row>
    <row r="2" spans="1:14" ht="26.5" customHeight="1" thickBot="1" x14ac:dyDescent="0.4">
      <c r="A2" s="82">
        <v>45292</v>
      </c>
      <c r="B2" s="83">
        <v>94.83</v>
      </c>
      <c r="C2" s="84">
        <v>133.87</v>
      </c>
      <c r="E2" s="124"/>
      <c r="F2" s="125"/>
      <c r="G2" s="125"/>
      <c r="H2" s="125"/>
      <c r="I2" s="125"/>
      <c r="J2" s="125"/>
      <c r="K2" s="125"/>
      <c r="L2" s="125"/>
      <c r="M2" s="125"/>
      <c r="N2" s="126"/>
    </row>
    <row r="3" spans="1:14" ht="26.5" customHeight="1" thickBot="1" x14ac:dyDescent="0.4">
      <c r="A3" s="85">
        <v>45323</v>
      </c>
      <c r="B3" s="86">
        <v>85.67</v>
      </c>
      <c r="C3" s="87">
        <v>122.88</v>
      </c>
      <c r="E3" s="127"/>
      <c r="F3" s="128"/>
      <c r="G3" s="128"/>
      <c r="H3" s="128"/>
      <c r="I3" s="128"/>
      <c r="J3" s="128"/>
      <c r="K3" s="128"/>
      <c r="L3" s="128"/>
      <c r="M3" s="128"/>
      <c r="N3" s="129"/>
    </row>
    <row r="4" spans="1:14" ht="26.5" customHeight="1" thickBot="1" x14ac:dyDescent="0.4">
      <c r="A4" s="82">
        <v>45352</v>
      </c>
      <c r="B4" s="83">
        <v>81.010000000000005</v>
      </c>
      <c r="C4" s="84">
        <v>117.28</v>
      </c>
      <c r="E4" s="127"/>
      <c r="F4" s="128"/>
      <c r="G4" s="128"/>
      <c r="H4" s="128"/>
      <c r="I4" s="128"/>
      <c r="J4" s="128"/>
      <c r="K4" s="128"/>
      <c r="L4" s="128"/>
      <c r="M4" s="128"/>
      <c r="N4" s="129"/>
    </row>
    <row r="5" spans="1:14" ht="26.5" customHeight="1" thickBot="1" x14ac:dyDescent="0.4">
      <c r="A5" s="85">
        <v>45383</v>
      </c>
      <c r="B5" s="86">
        <v>76.790000000000006</v>
      </c>
      <c r="C5" s="87">
        <v>112.21</v>
      </c>
      <c r="E5" s="127"/>
      <c r="F5" s="128"/>
      <c r="G5" s="128"/>
      <c r="H5" s="128"/>
      <c r="I5" s="128"/>
      <c r="J5" s="128"/>
      <c r="K5" s="128"/>
      <c r="L5" s="128"/>
      <c r="M5" s="128"/>
      <c r="N5" s="129"/>
    </row>
    <row r="6" spans="1:14" ht="26.5" customHeight="1" thickBot="1" x14ac:dyDescent="0.4">
      <c r="A6" s="82">
        <v>45413</v>
      </c>
      <c r="B6" s="83">
        <v>78.02</v>
      </c>
      <c r="C6" s="84">
        <v>113.69</v>
      </c>
      <c r="E6" s="127"/>
      <c r="F6" s="128"/>
      <c r="G6" s="128"/>
      <c r="H6" s="128"/>
      <c r="I6" s="128"/>
      <c r="J6" s="128"/>
      <c r="K6" s="128"/>
      <c r="L6" s="128"/>
      <c r="M6" s="128"/>
      <c r="N6" s="129"/>
    </row>
    <row r="7" spans="1:14" ht="26.5" customHeight="1" thickBot="1" x14ac:dyDescent="0.4">
      <c r="A7" s="85">
        <v>45444</v>
      </c>
      <c r="B7" s="86">
        <v>79.680000000000007</v>
      </c>
      <c r="C7" s="87">
        <v>115.69</v>
      </c>
      <c r="E7" s="127"/>
      <c r="F7" s="128"/>
      <c r="G7" s="128"/>
      <c r="H7" s="128"/>
      <c r="I7" s="128"/>
      <c r="J7" s="128"/>
      <c r="K7" s="128"/>
      <c r="L7" s="128"/>
      <c r="M7" s="128"/>
      <c r="N7" s="129"/>
    </row>
    <row r="8" spans="1:14" ht="26.5" customHeight="1" thickBot="1" x14ac:dyDescent="0.4">
      <c r="A8" s="82">
        <v>45474</v>
      </c>
      <c r="B8" s="83">
        <v>90.37</v>
      </c>
      <c r="C8" s="84">
        <v>129.19</v>
      </c>
      <c r="E8" s="127"/>
      <c r="F8" s="128"/>
      <c r="G8" s="128"/>
      <c r="H8" s="128"/>
      <c r="I8" s="128"/>
      <c r="J8" s="128"/>
      <c r="K8" s="128"/>
      <c r="L8" s="128"/>
      <c r="M8" s="128"/>
      <c r="N8" s="129"/>
    </row>
    <row r="9" spans="1:14" ht="26.5" customHeight="1" thickBot="1" x14ac:dyDescent="0.4">
      <c r="A9" s="82">
        <v>45505</v>
      </c>
      <c r="B9" s="83">
        <v>92.32</v>
      </c>
      <c r="C9" s="84">
        <v>131.53</v>
      </c>
      <c r="E9" s="127"/>
      <c r="F9" s="128"/>
      <c r="G9" s="128"/>
      <c r="H9" s="128"/>
      <c r="I9" s="128"/>
      <c r="J9" s="128"/>
      <c r="K9" s="128"/>
      <c r="L9" s="128"/>
      <c r="M9" s="128"/>
      <c r="N9" s="129"/>
    </row>
    <row r="10" spans="1:14" ht="26.5" customHeight="1" thickBot="1" x14ac:dyDescent="0.4">
      <c r="A10" s="82">
        <v>45536</v>
      </c>
      <c r="B10" s="83">
        <v>91.22</v>
      </c>
      <c r="C10" s="84">
        <v>130.21</v>
      </c>
      <c r="E10" s="127"/>
      <c r="F10" s="128"/>
      <c r="G10" s="128"/>
      <c r="H10" s="128"/>
      <c r="I10" s="128"/>
      <c r="J10" s="128"/>
      <c r="K10" s="128"/>
      <c r="L10" s="128"/>
      <c r="M10" s="128"/>
      <c r="N10" s="129"/>
    </row>
    <row r="11" spans="1:14" ht="26.5" customHeight="1" thickBot="1" x14ac:dyDescent="0.4">
      <c r="A11" s="82">
        <v>45566</v>
      </c>
      <c r="B11" s="83">
        <v>97.04</v>
      </c>
      <c r="C11" s="84">
        <v>137.19999999999999</v>
      </c>
      <c r="E11" s="127"/>
      <c r="F11" s="128"/>
      <c r="G11" s="128"/>
      <c r="H11" s="128"/>
      <c r="I11" s="128"/>
      <c r="J11" s="128"/>
      <c r="K11" s="128"/>
      <c r="L11" s="128"/>
      <c r="M11" s="128"/>
      <c r="N11" s="129"/>
    </row>
    <row r="12" spans="1:14" ht="14" thickBot="1" x14ac:dyDescent="0.4">
      <c r="A12" s="82">
        <v>45597</v>
      </c>
      <c r="B12" s="83">
        <v>95.96</v>
      </c>
      <c r="C12" s="84">
        <v>135.9</v>
      </c>
      <c r="E12" s="127"/>
      <c r="F12" s="128"/>
      <c r="G12" s="128"/>
      <c r="H12" s="128"/>
      <c r="I12" s="128"/>
      <c r="J12" s="128"/>
      <c r="K12" s="128"/>
      <c r="L12" s="128"/>
      <c r="M12" s="128"/>
      <c r="N12" s="129"/>
    </row>
    <row r="13" spans="1:14" ht="14" thickBot="1" x14ac:dyDescent="0.4">
      <c r="A13" s="82">
        <v>45627</v>
      </c>
      <c r="B13" s="88">
        <v>98.504108520980864</v>
      </c>
      <c r="C13" s="89">
        <v>138.94839029321815</v>
      </c>
      <c r="E13" s="127"/>
      <c r="F13" s="128"/>
      <c r="G13" s="128"/>
      <c r="H13" s="128"/>
      <c r="I13" s="128"/>
      <c r="J13" s="128"/>
      <c r="K13" s="128"/>
      <c r="L13" s="128"/>
      <c r="M13" s="128"/>
      <c r="N13" s="129"/>
    </row>
    <row r="14" spans="1:14" ht="14" thickBot="1" x14ac:dyDescent="0.4">
      <c r="A14" s="82">
        <v>45658</v>
      </c>
      <c r="B14" s="88">
        <v>102.78410852098085</v>
      </c>
      <c r="C14" s="89">
        <v>145.03594555305509</v>
      </c>
      <c r="E14" s="127"/>
      <c r="F14" s="128"/>
      <c r="G14" s="128"/>
      <c r="H14" s="128"/>
      <c r="I14" s="128"/>
      <c r="J14" s="128"/>
      <c r="K14" s="128"/>
      <c r="L14" s="128"/>
      <c r="M14" s="128"/>
      <c r="N14" s="129"/>
    </row>
    <row r="15" spans="1:14" ht="14" thickBot="1" x14ac:dyDescent="0.4">
      <c r="A15" s="82">
        <v>45689</v>
      </c>
      <c r="B15" s="88">
        <v>103.0536637808178</v>
      </c>
      <c r="C15" s="89">
        <v>145.34839029321813</v>
      </c>
      <c r="E15" s="127"/>
      <c r="F15" s="128"/>
      <c r="G15" s="128"/>
      <c r="H15" s="128"/>
      <c r="I15" s="128"/>
      <c r="J15" s="128"/>
      <c r="K15" s="128"/>
      <c r="L15" s="128"/>
      <c r="M15" s="128"/>
      <c r="N15" s="129"/>
    </row>
    <row r="16" spans="1:14" ht="14" thickBot="1" x14ac:dyDescent="0.4">
      <c r="A16" s="82">
        <v>45717</v>
      </c>
      <c r="B16" s="88">
        <v>105.25410852098088</v>
      </c>
      <c r="C16" s="89">
        <v>147.99839029321814</v>
      </c>
      <c r="E16" s="127"/>
      <c r="F16" s="128"/>
      <c r="G16" s="128"/>
      <c r="H16" s="128"/>
      <c r="I16" s="128"/>
      <c r="J16" s="128"/>
      <c r="K16" s="128"/>
      <c r="L16" s="128"/>
      <c r="M16" s="128"/>
      <c r="N16" s="129"/>
    </row>
    <row r="17" spans="1:14" ht="14" thickBot="1" x14ac:dyDescent="0.4">
      <c r="A17" s="82">
        <v>45748</v>
      </c>
      <c r="B17" s="88">
        <v>107.51188482016545</v>
      </c>
      <c r="C17" s="89">
        <v>150.69616659240273</v>
      </c>
      <c r="E17" s="127"/>
      <c r="F17" s="128"/>
      <c r="G17" s="128"/>
      <c r="H17" s="128"/>
      <c r="I17" s="128"/>
      <c r="J17" s="128"/>
      <c r="K17" s="128"/>
      <c r="L17" s="128"/>
      <c r="M17" s="128"/>
      <c r="N17" s="129"/>
    </row>
    <row r="18" spans="1:14" ht="14" thickBot="1" x14ac:dyDescent="0.4">
      <c r="A18" s="82">
        <v>45778</v>
      </c>
      <c r="B18" s="88">
        <v>100.90232956032854</v>
      </c>
      <c r="C18" s="89">
        <v>142.76616659240273</v>
      </c>
      <c r="E18" s="127"/>
      <c r="F18" s="128"/>
      <c r="G18" s="128"/>
      <c r="H18" s="128"/>
      <c r="I18" s="128"/>
      <c r="J18" s="128"/>
      <c r="K18" s="128"/>
      <c r="L18" s="128"/>
      <c r="M18" s="128"/>
      <c r="N18" s="129"/>
    </row>
    <row r="19" spans="1:14" x14ac:dyDescent="0.35">
      <c r="E19" s="127"/>
      <c r="F19" s="128"/>
      <c r="G19" s="128"/>
      <c r="H19" s="128"/>
      <c r="I19" s="128"/>
      <c r="J19" s="128"/>
      <c r="K19" s="128"/>
      <c r="L19" s="128"/>
      <c r="M19" s="128"/>
      <c r="N19" s="129"/>
    </row>
    <row r="20" spans="1:14" x14ac:dyDescent="0.35">
      <c r="E20" s="127"/>
      <c r="F20" s="128"/>
      <c r="G20" s="128"/>
      <c r="H20" s="128"/>
      <c r="I20" s="128"/>
      <c r="J20" s="128"/>
      <c r="K20" s="128"/>
      <c r="L20" s="128"/>
      <c r="M20" s="128"/>
      <c r="N20" s="129"/>
    </row>
    <row r="21" spans="1:14" x14ac:dyDescent="0.35">
      <c r="E21" s="127"/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14" x14ac:dyDescent="0.35">
      <c r="E22" s="127"/>
      <c r="F22" s="128"/>
      <c r="G22" s="128"/>
      <c r="H22" s="128"/>
      <c r="I22" s="128"/>
      <c r="J22" s="128"/>
      <c r="K22" s="128"/>
      <c r="L22" s="128"/>
      <c r="M22" s="128"/>
      <c r="N22" s="129"/>
    </row>
    <row r="23" spans="1:14" x14ac:dyDescent="0.35">
      <c r="E23" s="127"/>
      <c r="F23" s="128"/>
      <c r="G23" s="128"/>
      <c r="H23" s="128"/>
      <c r="I23" s="128"/>
      <c r="J23" s="128"/>
      <c r="K23" s="128"/>
      <c r="L23" s="128"/>
      <c r="M23" s="128"/>
      <c r="N23" s="129"/>
    </row>
    <row r="24" spans="1:14" x14ac:dyDescent="0.35">
      <c r="E24" s="127"/>
      <c r="F24" s="128"/>
      <c r="G24" s="128"/>
      <c r="H24" s="128"/>
      <c r="I24" s="128"/>
      <c r="J24" s="128"/>
      <c r="K24" s="128"/>
      <c r="L24" s="128"/>
      <c r="M24" s="128"/>
      <c r="N24" s="129"/>
    </row>
    <row r="25" spans="1:14" x14ac:dyDescent="0.35">
      <c r="E25" s="127"/>
      <c r="F25" s="128"/>
      <c r="G25" s="128"/>
      <c r="H25" s="128"/>
      <c r="I25" s="128"/>
      <c r="J25" s="128"/>
      <c r="K25" s="128"/>
      <c r="L25" s="128"/>
      <c r="M25" s="128"/>
      <c r="N25" s="129"/>
    </row>
    <row r="26" spans="1:14" x14ac:dyDescent="0.35">
      <c r="E26" s="127"/>
      <c r="F26" s="128"/>
      <c r="G26" s="128"/>
      <c r="H26" s="128"/>
      <c r="I26" s="128"/>
      <c r="J26" s="128"/>
      <c r="K26" s="128"/>
      <c r="L26" s="128"/>
      <c r="M26" s="128"/>
      <c r="N26" s="129"/>
    </row>
    <row r="27" spans="1:14" ht="14" thickBot="1" x14ac:dyDescent="0.4">
      <c r="E27" s="130"/>
      <c r="F27" s="131"/>
      <c r="G27" s="131"/>
      <c r="H27" s="131"/>
      <c r="I27" s="131"/>
      <c r="J27" s="131"/>
      <c r="K27" s="131"/>
      <c r="L27" s="131"/>
      <c r="M27" s="131"/>
      <c r="N27" s="132"/>
    </row>
  </sheetData>
  <mergeCells count="2">
    <mergeCell ref="E2:N27"/>
    <mergeCell ref="E1:N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2:F27"/>
  <sheetViews>
    <sheetView showGridLines="0" zoomScaleNormal="100" workbookViewId="0">
      <selection activeCell="C5" sqref="C5"/>
    </sheetView>
  </sheetViews>
  <sheetFormatPr baseColWidth="10" defaultColWidth="11" defaultRowHeight="13.5" x14ac:dyDescent="0.35"/>
  <cols>
    <col min="2" max="2" width="19.08203125" customWidth="1"/>
    <col min="3" max="3" width="29.08203125" customWidth="1"/>
    <col min="4" max="4" width="42" customWidth="1"/>
    <col min="5" max="5" width="49.6640625" customWidth="1"/>
    <col min="6" max="6" width="19.5" customWidth="1"/>
  </cols>
  <sheetData>
    <row r="2" spans="2:4" ht="21" x14ac:dyDescent="0.35">
      <c r="B2" s="4" t="s">
        <v>22</v>
      </c>
    </row>
    <row r="3" spans="2:4" ht="18" customHeight="1" thickBot="1" x14ac:dyDescent="0.4"/>
    <row r="4" spans="2:4" ht="14" thickBot="1" x14ac:dyDescent="0.4">
      <c r="B4" s="26" t="s">
        <v>20</v>
      </c>
      <c r="C4" s="52" t="s">
        <v>19</v>
      </c>
      <c r="D4" s="27" t="s">
        <v>23</v>
      </c>
    </row>
    <row r="5" spans="2:4" x14ac:dyDescent="0.35">
      <c r="B5" s="28" t="s">
        <v>24</v>
      </c>
      <c r="C5" s="28" t="s">
        <v>28</v>
      </c>
      <c r="D5" s="30">
        <v>1.45</v>
      </c>
    </row>
    <row r="6" spans="2:4" ht="14" thickBot="1" x14ac:dyDescent="0.4">
      <c r="B6" s="29" t="s">
        <v>21</v>
      </c>
      <c r="C6" s="29" t="s">
        <v>27</v>
      </c>
      <c r="D6" s="31">
        <v>12.16</v>
      </c>
    </row>
    <row r="23" spans="2:6" s="6" customFormat="1" ht="34.5" customHeight="1" x14ac:dyDescent="0.35">
      <c r="B23"/>
      <c r="C23"/>
      <c r="D23"/>
      <c r="E23"/>
      <c r="F23"/>
    </row>
    <row r="27" spans="2:6" s="6" customFormat="1" ht="34.5" customHeight="1" x14ac:dyDescent="0.35">
      <c r="B27"/>
      <c r="C27"/>
      <c r="D27"/>
      <c r="E27"/>
      <c r="F27"/>
    </row>
  </sheetData>
  <pageMargins left="0.7" right="0.7" top="0.75" bottom="0.75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20"/>
  <sheetViews>
    <sheetView showGridLines="0" topLeftCell="B1" zoomScaleNormal="100" workbookViewId="0">
      <selection activeCell="C8" sqref="C8"/>
    </sheetView>
  </sheetViews>
  <sheetFormatPr baseColWidth="10" defaultColWidth="11" defaultRowHeight="13.5" x14ac:dyDescent="0.35"/>
  <cols>
    <col min="1" max="1" width="11" style="7"/>
    <col min="2" max="2" width="16.1640625" style="7" customWidth="1"/>
    <col min="3" max="3" width="17.58203125" style="7" customWidth="1"/>
    <col min="4" max="4" width="17.6640625" style="7" customWidth="1"/>
    <col min="5" max="5" width="18.58203125" style="7" customWidth="1"/>
    <col min="6" max="6" width="15" style="7" customWidth="1"/>
    <col min="7" max="16384" width="11" style="7"/>
  </cols>
  <sheetData>
    <row r="2" spans="2:6" ht="21.75" customHeight="1" x14ac:dyDescent="0.35">
      <c r="B2" s="4" t="s">
        <v>62</v>
      </c>
    </row>
    <row r="3" spans="2:6" ht="23.25" customHeight="1" thickBot="1" x14ac:dyDescent="0.4">
      <c r="B3" s="4"/>
    </row>
    <row r="4" spans="2:6" ht="19.5" customHeight="1" thickBot="1" x14ac:dyDescent="0.4">
      <c r="B4" s="26" t="s">
        <v>22</v>
      </c>
      <c r="C4" s="52" t="s">
        <v>6</v>
      </c>
      <c r="D4" s="27" t="s">
        <v>0</v>
      </c>
      <c r="E4" s="27" t="s">
        <v>5</v>
      </c>
    </row>
    <row r="5" spans="2:6" ht="15" customHeight="1" x14ac:dyDescent="0.35">
      <c r="B5" s="28" t="s">
        <v>24</v>
      </c>
      <c r="C5" s="28" t="s">
        <v>7</v>
      </c>
      <c r="D5" s="30">
        <v>51.96</v>
      </c>
      <c r="E5" s="30">
        <v>42.37</v>
      </c>
    </row>
    <row r="6" spans="2:6" ht="13.25" customHeight="1" thickBot="1" x14ac:dyDescent="0.4">
      <c r="B6" s="29" t="s">
        <v>21</v>
      </c>
      <c r="C6" s="29" t="s">
        <v>8</v>
      </c>
      <c r="D6" s="31">
        <v>175.92</v>
      </c>
      <c r="E6" s="31">
        <v>11.39</v>
      </c>
      <c r="F6" s="34"/>
    </row>
    <row r="8" spans="2:6" x14ac:dyDescent="0.35">
      <c r="B8" s="51"/>
    </row>
    <row r="10" spans="2:6" x14ac:dyDescent="0.35">
      <c r="D10"/>
      <c r="E10" s="18"/>
    </row>
    <row r="11" spans="2:6" x14ac:dyDescent="0.35">
      <c r="D11"/>
      <c r="E11" s="18"/>
    </row>
    <row r="12" spans="2:6" x14ac:dyDescent="0.35">
      <c r="D12"/>
      <c r="E12"/>
    </row>
    <row r="13" spans="2:6" x14ac:dyDescent="0.35">
      <c r="D13"/>
      <c r="E13"/>
    </row>
    <row r="14" spans="2:6" x14ac:dyDescent="0.35">
      <c r="E14"/>
    </row>
    <row r="15" spans="2:6" x14ac:dyDescent="0.35">
      <c r="E15"/>
    </row>
    <row r="16" spans="2:6" x14ac:dyDescent="0.35">
      <c r="E16"/>
    </row>
    <row r="17" spans="5:5" x14ac:dyDescent="0.35">
      <c r="E17"/>
    </row>
    <row r="18" spans="5:5" x14ac:dyDescent="0.35">
      <c r="E18"/>
    </row>
    <row r="19" spans="5:5" x14ac:dyDescent="0.35">
      <c r="E19"/>
    </row>
    <row r="20" spans="5:5" x14ac:dyDescent="0.35">
      <c r="E20"/>
    </row>
  </sheetData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/>
  <dimension ref="B2:H18"/>
  <sheetViews>
    <sheetView showGridLines="0" zoomScale="90" zoomScaleNormal="70" workbookViewId="0">
      <selection activeCell="F4" sqref="F4:H10"/>
    </sheetView>
  </sheetViews>
  <sheetFormatPr baseColWidth="10" defaultColWidth="11" defaultRowHeight="13.5" x14ac:dyDescent="0.35"/>
  <cols>
    <col min="1" max="1" width="11" style="7"/>
    <col min="2" max="2" width="22.1640625" style="7" customWidth="1"/>
    <col min="3" max="3" width="23.58203125" style="7" customWidth="1"/>
    <col min="4" max="4" width="16.58203125" style="7" customWidth="1"/>
    <col min="5" max="5" width="22.58203125" style="7" customWidth="1"/>
    <col min="6" max="6" width="18.08203125" style="7" customWidth="1"/>
    <col min="7" max="7" width="13.6640625" style="7" customWidth="1"/>
    <col min="8" max="16384" width="11" style="7"/>
  </cols>
  <sheetData>
    <row r="2" spans="2:8" ht="21.75" customHeight="1" x14ac:dyDescent="0.35">
      <c r="B2" s="4" t="s">
        <v>43</v>
      </c>
      <c r="F2" s="32"/>
    </row>
    <row r="3" spans="2:8" ht="23.25" customHeight="1" x14ac:dyDescent="0.35">
      <c r="B3" s="4"/>
      <c r="E3" s="41"/>
      <c r="F3" s="40"/>
    </row>
    <row r="4" spans="2:8" ht="23.25" customHeight="1" thickBot="1" x14ac:dyDescent="0.4">
      <c r="B4" s="4"/>
      <c r="E4" s="32"/>
    </row>
    <row r="5" spans="2:8" ht="18.75" customHeight="1" thickBot="1" x14ac:dyDescent="0.4">
      <c r="B5" s="97" t="s">
        <v>22</v>
      </c>
      <c r="C5" s="99" t="s">
        <v>9</v>
      </c>
      <c r="D5" s="100"/>
      <c r="E5" s="101"/>
      <c r="F5" s="99" t="s">
        <v>25</v>
      </c>
      <c r="G5" s="100"/>
      <c r="H5" s="101"/>
    </row>
    <row r="6" spans="2:8" ht="17.25" customHeight="1" thickBot="1" x14ac:dyDescent="0.4">
      <c r="B6" s="98"/>
      <c r="C6" s="22" t="s">
        <v>32</v>
      </c>
      <c r="D6" s="22" t="s">
        <v>33</v>
      </c>
      <c r="E6" s="22" t="s">
        <v>34</v>
      </c>
      <c r="F6" s="22" t="s">
        <v>29</v>
      </c>
      <c r="G6" s="22" t="s">
        <v>31</v>
      </c>
      <c r="H6" s="22" t="s">
        <v>30</v>
      </c>
    </row>
    <row r="7" spans="2:8" x14ac:dyDescent="0.35">
      <c r="B7" s="28" t="s">
        <v>24</v>
      </c>
      <c r="C7" s="54">
        <v>1.0687462451020622</v>
      </c>
      <c r="D7" s="54">
        <v>3.5456621352640232</v>
      </c>
      <c r="E7" s="54">
        <v>9.8558647285019401</v>
      </c>
      <c r="F7" s="54">
        <v>1.3085523358124871</v>
      </c>
      <c r="G7" s="54">
        <v>1.9827750378167943</v>
      </c>
      <c r="H7" s="56">
        <v>2.4225226754487137</v>
      </c>
    </row>
    <row r="8" spans="2:8" ht="14" thickBot="1" x14ac:dyDescent="0.4">
      <c r="B8" s="29" t="s">
        <v>21</v>
      </c>
      <c r="C8" s="55">
        <v>1.881208841888133</v>
      </c>
      <c r="D8" s="55">
        <v>7.2069918273177596</v>
      </c>
      <c r="E8" s="55">
        <v>20.836605091923126</v>
      </c>
      <c r="F8" s="55">
        <v>3.1597173494853665</v>
      </c>
      <c r="G8" s="55">
        <v>5.1935283554482714</v>
      </c>
      <c r="H8" s="57">
        <v>6.3766549420302185</v>
      </c>
    </row>
    <row r="10" spans="2:8" x14ac:dyDescent="0.35">
      <c r="B10" s="20" t="s">
        <v>59</v>
      </c>
      <c r="G10" s="20"/>
    </row>
    <row r="11" spans="2:8" x14ac:dyDescent="0.35">
      <c r="G11" s="20"/>
    </row>
    <row r="12" spans="2:8" x14ac:dyDescent="0.35">
      <c r="E12"/>
      <c r="F12"/>
      <c r="G12"/>
    </row>
    <row r="13" spans="2:8" x14ac:dyDescent="0.35">
      <c r="G13"/>
    </row>
    <row r="14" spans="2:8" x14ac:dyDescent="0.35">
      <c r="B14" s="21"/>
      <c r="E14"/>
      <c r="F14"/>
      <c r="G14"/>
      <c r="H14"/>
    </row>
    <row r="15" spans="2:8" x14ac:dyDescent="0.35">
      <c r="B15" s="21"/>
      <c r="G15"/>
      <c r="H15"/>
    </row>
    <row r="16" spans="2:8" x14ac:dyDescent="0.35">
      <c r="E16"/>
      <c r="F16"/>
      <c r="G16"/>
      <c r="H16"/>
    </row>
    <row r="17" spans="5:8" x14ac:dyDescent="0.35">
      <c r="G17"/>
      <c r="H17"/>
    </row>
    <row r="18" spans="5:8" x14ac:dyDescent="0.35">
      <c r="E18"/>
      <c r="F18"/>
      <c r="G18"/>
      <c r="H18"/>
    </row>
  </sheetData>
  <mergeCells count="3">
    <mergeCell ref="B5:B6"/>
    <mergeCell ref="C5:E5"/>
    <mergeCell ref="F5:H5"/>
  </mergeCells>
  <pageMargins left="0.7" right="0.7" top="0.75" bottom="0.75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66"/>
  <sheetViews>
    <sheetView showGridLines="0" zoomScale="70" zoomScaleNormal="70" workbookViewId="0">
      <selection activeCell="G12" sqref="G12"/>
    </sheetView>
  </sheetViews>
  <sheetFormatPr baseColWidth="10" defaultColWidth="11" defaultRowHeight="13.5" x14ac:dyDescent="0.35"/>
  <cols>
    <col min="1" max="1" width="11" style="7"/>
    <col min="2" max="2" width="21.08203125" style="7" customWidth="1"/>
    <col min="3" max="4" width="28.58203125" style="7" customWidth="1"/>
    <col min="5" max="5" width="13.58203125" style="7" customWidth="1"/>
    <col min="6" max="6" width="21.08203125" style="7" customWidth="1"/>
    <col min="7" max="7" width="27" style="7" customWidth="1"/>
    <col min="8" max="8" width="19.58203125" style="7" customWidth="1"/>
    <col min="9" max="9" width="14.58203125" style="7" customWidth="1"/>
    <col min="10" max="13" width="9.58203125" style="7" customWidth="1"/>
    <col min="14" max="16384" width="11" style="7"/>
  </cols>
  <sheetData>
    <row r="2" spans="1:20" ht="21.75" customHeight="1" x14ac:dyDescent="0.35">
      <c r="B2" s="13" t="s">
        <v>38</v>
      </c>
      <c r="H2" s="9"/>
      <c r="I2" s="10"/>
      <c r="K2" s="11"/>
      <c r="L2"/>
      <c r="M2"/>
      <c r="N2"/>
      <c r="O2"/>
      <c r="P2"/>
    </row>
    <row r="3" spans="1:20" ht="23.25" customHeight="1" thickBot="1" x14ac:dyDescent="0.4">
      <c r="B3" s="17"/>
      <c r="F3" s="44"/>
      <c r="H3" s="9"/>
      <c r="I3" s="10"/>
      <c r="K3" s="11"/>
      <c r="L3"/>
      <c r="M3"/>
      <c r="N3"/>
      <c r="O3"/>
      <c r="P3"/>
    </row>
    <row r="4" spans="1:20" ht="33" customHeight="1" thickBot="1" x14ac:dyDescent="0.4">
      <c r="B4" s="45" t="s">
        <v>22</v>
      </c>
      <c r="C4" s="42" t="s">
        <v>60</v>
      </c>
      <c r="D4" s="42" t="s">
        <v>61</v>
      </c>
      <c r="E4" s="42" t="s">
        <v>37</v>
      </c>
      <c r="F4" s="58" t="s">
        <v>26</v>
      </c>
      <c r="G4" s="58" t="s">
        <v>36</v>
      </c>
      <c r="H4" s="43" t="s">
        <v>35</v>
      </c>
      <c r="J4" s="11"/>
      <c r="K4"/>
      <c r="L4"/>
      <c r="M4"/>
      <c r="N4"/>
      <c r="O4"/>
      <c r="P4"/>
      <c r="Q4"/>
      <c r="R4"/>
      <c r="S4"/>
    </row>
    <row r="5" spans="1:20" ht="16.25" customHeight="1" x14ac:dyDescent="0.35">
      <c r="B5" s="28" t="s">
        <v>24</v>
      </c>
      <c r="C5" s="54">
        <v>43.5340655462185</v>
      </c>
      <c r="D5" s="54">
        <v>3.2297478991596602</v>
      </c>
      <c r="E5" s="54">
        <v>6.53</v>
      </c>
      <c r="F5" s="54">
        <v>1.55</v>
      </c>
      <c r="G5" s="54">
        <v>1.95</v>
      </c>
      <c r="H5" s="56">
        <v>0.04</v>
      </c>
      <c r="J5" s="11"/>
      <c r="K5"/>
      <c r="L5"/>
      <c r="M5"/>
      <c r="N5"/>
      <c r="O5"/>
      <c r="P5"/>
      <c r="Q5"/>
      <c r="R5"/>
      <c r="S5"/>
    </row>
    <row r="6" spans="1:20" ht="15" thickBot="1" x14ac:dyDescent="0.4">
      <c r="B6" s="29" t="s">
        <v>21</v>
      </c>
      <c r="C6" s="55">
        <v>43.5340655462185</v>
      </c>
      <c r="D6" s="55">
        <v>3.2297478991596602</v>
      </c>
      <c r="E6" s="55">
        <v>6.53</v>
      </c>
      <c r="F6" s="55">
        <v>1.55</v>
      </c>
      <c r="G6" s="55">
        <v>1.95</v>
      </c>
      <c r="H6" s="57">
        <v>0.04</v>
      </c>
      <c r="J6" s="11"/>
      <c r="K6"/>
      <c r="L6"/>
      <c r="M6"/>
      <c r="N6"/>
      <c r="O6"/>
      <c r="P6"/>
      <c r="Q6"/>
      <c r="R6"/>
      <c r="S6"/>
    </row>
    <row r="7" spans="1:20" x14ac:dyDescent="0.35">
      <c r="E7" s="1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x14ac:dyDescent="0.35">
      <c r="B8" s="20"/>
      <c r="E8" s="17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x14ac:dyDescent="0.35">
      <c r="A9" s="17"/>
      <c r="E9" s="17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x14ac:dyDescent="0.35">
      <c r="C10"/>
      <c r="D10"/>
      <c r="E10" s="25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x14ac:dyDescent="0.35">
      <c r="E11"/>
      <c r="F11"/>
      <c r="G11"/>
      <c r="H11"/>
      <c r="I11"/>
      <c r="J11"/>
      <c r="K11"/>
      <c r="L11"/>
      <c r="M11"/>
      <c r="O11"/>
      <c r="P11"/>
      <c r="Q11"/>
      <c r="R11"/>
      <c r="S11"/>
      <c r="T11"/>
    </row>
    <row r="12" spans="1:20" x14ac:dyDescent="0.35">
      <c r="B12"/>
      <c r="C12"/>
      <c r="D12"/>
      <c r="E12"/>
      <c r="F12"/>
      <c r="G12"/>
      <c r="H12"/>
      <c r="I12"/>
      <c r="J12"/>
      <c r="K12"/>
      <c r="L12"/>
      <c r="M12"/>
      <c r="O12"/>
      <c r="P12"/>
      <c r="Q12"/>
      <c r="R12"/>
      <c r="S12"/>
      <c r="T12"/>
    </row>
    <row r="13" spans="1:20" x14ac:dyDescent="0.35">
      <c r="B13"/>
      <c r="C13"/>
      <c r="D13"/>
      <c r="E13"/>
      <c r="F13"/>
      <c r="G13"/>
      <c r="H13"/>
      <c r="I13"/>
      <c r="J13"/>
      <c r="K13"/>
      <c r="L13"/>
      <c r="M13"/>
      <c r="O13"/>
      <c r="P13"/>
      <c r="Q13"/>
      <c r="R13"/>
      <c r="S13"/>
      <c r="T13"/>
    </row>
    <row r="14" spans="1:20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O14"/>
      <c r="P14"/>
      <c r="Q14"/>
      <c r="R14"/>
      <c r="S14"/>
      <c r="T14"/>
    </row>
    <row r="15" spans="1:20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O15"/>
      <c r="P15"/>
      <c r="Q15"/>
      <c r="R15"/>
      <c r="S15"/>
      <c r="T15"/>
    </row>
    <row r="16" spans="1:20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O16"/>
      <c r="P16"/>
      <c r="Q16"/>
      <c r="R16"/>
      <c r="S16"/>
      <c r="T16"/>
    </row>
    <row r="17" spans="1:20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O17"/>
      <c r="P17"/>
      <c r="Q17"/>
      <c r="R17"/>
      <c r="S17"/>
      <c r="T17"/>
    </row>
    <row r="18" spans="1:20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O18"/>
      <c r="P18"/>
      <c r="Q18"/>
      <c r="R18"/>
      <c r="S18"/>
      <c r="T18"/>
    </row>
    <row r="19" spans="1:20" x14ac:dyDescent="0.3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20" x14ac:dyDescent="0.3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20" x14ac:dyDescent="0.3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20" x14ac:dyDescent="0.3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20" x14ac:dyDescent="0.3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20" x14ac:dyDescent="0.35">
      <c r="A24"/>
      <c r="B24"/>
      <c r="C24"/>
      <c r="D24"/>
      <c r="E24"/>
      <c r="F24"/>
      <c r="G24"/>
      <c r="H24"/>
      <c r="I24"/>
      <c r="J24"/>
      <c r="K24"/>
      <c r="L24"/>
    </row>
    <row r="25" spans="1:20" x14ac:dyDescent="0.35">
      <c r="A25"/>
      <c r="B25"/>
      <c r="C25"/>
      <c r="D25"/>
      <c r="E25"/>
      <c r="F25"/>
      <c r="G25"/>
      <c r="H25"/>
      <c r="I25"/>
      <c r="J25"/>
      <c r="K25"/>
      <c r="L25"/>
    </row>
    <row r="26" spans="1:20" x14ac:dyDescent="0.35">
      <c r="A26"/>
      <c r="B26"/>
      <c r="C26"/>
      <c r="D26"/>
      <c r="E26"/>
      <c r="F26"/>
      <c r="G26"/>
      <c r="H26"/>
      <c r="I26"/>
      <c r="J26"/>
      <c r="K26"/>
      <c r="L26"/>
    </row>
    <row r="27" spans="1:20" x14ac:dyDescent="0.35">
      <c r="A27"/>
      <c r="B27"/>
      <c r="C27"/>
      <c r="D27"/>
      <c r="E27"/>
      <c r="F27"/>
      <c r="G27"/>
      <c r="H27"/>
      <c r="I27"/>
      <c r="J27"/>
      <c r="K27"/>
      <c r="L27"/>
    </row>
    <row r="28" spans="1:20" x14ac:dyDescent="0.35">
      <c r="A28"/>
      <c r="B28"/>
      <c r="C28"/>
      <c r="D28"/>
      <c r="E28"/>
      <c r="F28"/>
      <c r="G28"/>
      <c r="H28"/>
      <c r="I28"/>
      <c r="J28"/>
      <c r="K28"/>
      <c r="L28"/>
    </row>
    <row r="29" spans="1:20" x14ac:dyDescent="0.35">
      <c r="A29"/>
      <c r="B29"/>
      <c r="C29"/>
      <c r="D29"/>
      <c r="E29"/>
      <c r="F29"/>
      <c r="G29"/>
      <c r="H29"/>
      <c r="I29"/>
      <c r="J29"/>
      <c r="K29"/>
      <c r="L29"/>
    </row>
    <row r="30" spans="1:20" x14ac:dyDescent="0.35">
      <c r="A30"/>
      <c r="B30"/>
      <c r="C30"/>
      <c r="D30"/>
      <c r="E30"/>
      <c r="F30"/>
      <c r="G30"/>
      <c r="H30"/>
      <c r="I30"/>
      <c r="J30"/>
      <c r="K30"/>
      <c r="L30"/>
    </row>
    <row r="31" spans="1:20" x14ac:dyDescent="0.35">
      <c r="B31"/>
      <c r="C31"/>
      <c r="D31"/>
      <c r="E31"/>
      <c r="F31"/>
      <c r="G31"/>
      <c r="H31"/>
      <c r="I31"/>
      <c r="J31"/>
      <c r="K31"/>
      <c r="L31"/>
    </row>
    <row r="32" spans="1:20" x14ac:dyDescent="0.35">
      <c r="B32"/>
      <c r="C32"/>
      <c r="D32"/>
      <c r="E32"/>
      <c r="F32"/>
      <c r="G32"/>
      <c r="H32"/>
      <c r="I32"/>
      <c r="J32"/>
      <c r="K32"/>
      <c r="L32"/>
    </row>
    <row r="33" spans="2:12" x14ac:dyDescent="0.35">
      <c r="B33"/>
      <c r="C33"/>
      <c r="D33"/>
      <c r="E33"/>
      <c r="F33"/>
      <c r="G33"/>
      <c r="H33"/>
      <c r="I33"/>
      <c r="J33"/>
      <c r="K33"/>
      <c r="L33"/>
    </row>
    <row r="34" spans="2:12" x14ac:dyDescent="0.35">
      <c r="B34"/>
      <c r="C34"/>
      <c r="D34"/>
      <c r="E34"/>
      <c r="F34"/>
      <c r="G34"/>
      <c r="H34"/>
      <c r="I34"/>
      <c r="J34"/>
      <c r="K34"/>
      <c r="L34"/>
    </row>
    <row r="35" spans="2:12" x14ac:dyDescent="0.35">
      <c r="B35"/>
      <c r="C35"/>
      <c r="D35"/>
      <c r="E35"/>
      <c r="F35"/>
      <c r="G35"/>
      <c r="H35"/>
      <c r="I35"/>
      <c r="J35"/>
      <c r="K35"/>
      <c r="L35"/>
    </row>
    <row r="36" spans="2:12" x14ac:dyDescent="0.35">
      <c r="B36"/>
      <c r="C36"/>
      <c r="D36"/>
      <c r="E36"/>
      <c r="F36"/>
      <c r="G36"/>
      <c r="H36"/>
      <c r="I36"/>
      <c r="J36"/>
      <c r="K36"/>
      <c r="L36"/>
    </row>
    <row r="37" spans="2:12" x14ac:dyDescent="0.35">
      <c r="B37"/>
      <c r="C37"/>
      <c r="D37"/>
      <c r="E37"/>
      <c r="F37"/>
      <c r="G37"/>
      <c r="H37"/>
      <c r="I37"/>
      <c r="J37"/>
      <c r="K37"/>
      <c r="L37"/>
    </row>
    <row r="38" spans="2:12" x14ac:dyDescent="0.35">
      <c r="B38"/>
      <c r="C38"/>
      <c r="D38"/>
      <c r="E38"/>
      <c r="F38"/>
      <c r="G38"/>
      <c r="H38"/>
      <c r="I38"/>
      <c r="J38"/>
      <c r="K38"/>
      <c r="L38"/>
    </row>
    <row r="39" spans="2:12" x14ac:dyDescent="0.35">
      <c r="B39"/>
      <c r="C39"/>
      <c r="D39"/>
      <c r="E39"/>
      <c r="F39"/>
      <c r="G39"/>
      <c r="H39"/>
      <c r="I39"/>
      <c r="J39"/>
      <c r="K39"/>
      <c r="L39"/>
    </row>
    <row r="40" spans="2:12" x14ac:dyDescent="0.35">
      <c r="B40"/>
      <c r="C40"/>
      <c r="D40"/>
      <c r="E40"/>
      <c r="F40"/>
      <c r="G40"/>
      <c r="H40"/>
      <c r="I40"/>
      <c r="J40"/>
      <c r="K40"/>
      <c r="L40"/>
    </row>
    <row r="41" spans="2:12" x14ac:dyDescent="0.35">
      <c r="B41"/>
      <c r="C41"/>
      <c r="D41"/>
      <c r="E41"/>
      <c r="F41"/>
      <c r="G41"/>
      <c r="H41"/>
      <c r="I41"/>
      <c r="J41"/>
      <c r="K41"/>
      <c r="L41"/>
    </row>
    <row r="42" spans="2:12" x14ac:dyDescent="0.35">
      <c r="B42"/>
      <c r="C42"/>
      <c r="D42"/>
      <c r="E42"/>
      <c r="F42"/>
      <c r="G42"/>
      <c r="H42"/>
      <c r="I42"/>
      <c r="J42"/>
      <c r="K42"/>
      <c r="L42"/>
    </row>
    <row r="43" spans="2:12" x14ac:dyDescent="0.35">
      <c r="B43"/>
      <c r="C43"/>
      <c r="D43"/>
      <c r="E43"/>
      <c r="F43"/>
      <c r="G43"/>
      <c r="H43"/>
      <c r="I43"/>
      <c r="J43"/>
      <c r="K43"/>
      <c r="L43"/>
    </row>
    <row r="44" spans="2:12" x14ac:dyDescent="0.35">
      <c r="B44"/>
      <c r="C44"/>
      <c r="D44"/>
      <c r="E44"/>
      <c r="F44"/>
      <c r="G44"/>
      <c r="H44"/>
      <c r="I44"/>
      <c r="J44"/>
      <c r="K44"/>
      <c r="L44"/>
    </row>
    <row r="45" spans="2:12" x14ac:dyDescent="0.35">
      <c r="B45"/>
      <c r="C45"/>
      <c r="D45"/>
      <c r="E45"/>
      <c r="F45"/>
      <c r="G45"/>
      <c r="H45"/>
      <c r="I45"/>
      <c r="J45"/>
      <c r="K45"/>
      <c r="L45"/>
    </row>
    <row r="46" spans="2:12" x14ac:dyDescent="0.35">
      <c r="B46"/>
      <c r="C46"/>
      <c r="D46"/>
      <c r="E46"/>
      <c r="F46"/>
      <c r="G46"/>
      <c r="H46"/>
      <c r="I46"/>
      <c r="J46"/>
      <c r="K46"/>
      <c r="L46"/>
    </row>
    <row r="47" spans="2:12" x14ac:dyDescent="0.35">
      <c r="B47"/>
      <c r="C47"/>
      <c r="D47"/>
      <c r="E47"/>
      <c r="F47"/>
      <c r="G47"/>
      <c r="H47"/>
      <c r="I47"/>
      <c r="J47"/>
      <c r="K47"/>
      <c r="L47"/>
    </row>
    <row r="48" spans="2:12" x14ac:dyDescent="0.35">
      <c r="B48"/>
      <c r="C48"/>
      <c r="D48"/>
      <c r="E48"/>
      <c r="F48"/>
      <c r="G48"/>
      <c r="H48"/>
      <c r="I48"/>
      <c r="J48"/>
      <c r="K48"/>
      <c r="L48"/>
    </row>
    <row r="49" spans="2:12" x14ac:dyDescent="0.35">
      <c r="B49"/>
      <c r="C49"/>
      <c r="D49"/>
      <c r="E49"/>
      <c r="F49"/>
      <c r="G49"/>
      <c r="H49"/>
      <c r="I49"/>
      <c r="J49"/>
      <c r="K49"/>
      <c r="L49"/>
    </row>
    <row r="50" spans="2:12" x14ac:dyDescent="0.35">
      <c r="B50"/>
      <c r="C50"/>
      <c r="D50"/>
      <c r="E50"/>
      <c r="F50"/>
      <c r="G50"/>
      <c r="H50"/>
      <c r="I50"/>
      <c r="J50"/>
      <c r="K50"/>
      <c r="L50"/>
    </row>
    <row r="51" spans="2:12" x14ac:dyDescent="0.35">
      <c r="B51"/>
      <c r="C51"/>
      <c r="D51"/>
      <c r="E51"/>
      <c r="F51"/>
      <c r="G51"/>
      <c r="H51"/>
      <c r="I51"/>
      <c r="J51"/>
      <c r="K51"/>
      <c r="L51"/>
    </row>
    <row r="52" spans="2:12" x14ac:dyDescent="0.35">
      <c r="B52"/>
      <c r="C52"/>
      <c r="D52"/>
      <c r="E52"/>
      <c r="F52"/>
      <c r="G52"/>
      <c r="H52"/>
      <c r="I52"/>
      <c r="J52"/>
      <c r="K52"/>
      <c r="L52"/>
    </row>
    <row r="53" spans="2:12" x14ac:dyDescent="0.35">
      <c r="B53"/>
      <c r="C53"/>
      <c r="D53"/>
      <c r="E53"/>
      <c r="F53"/>
      <c r="G53"/>
      <c r="H53"/>
      <c r="I53"/>
      <c r="J53"/>
      <c r="K53"/>
      <c r="L53"/>
    </row>
    <row r="54" spans="2:12" x14ac:dyDescent="0.35">
      <c r="B54"/>
      <c r="C54"/>
      <c r="D54"/>
      <c r="E54"/>
      <c r="F54"/>
      <c r="G54"/>
      <c r="H54"/>
      <c r="I54"/>
      <c r="J54"/>
      <c r="K54"/>
      <c r="L54"/>
    </row>
    <row r="55" spans="2:12" x14ac:dyDescent="0.35">
      <c r="B55"/>
      <c r="C55"/>
      <c r="D55"/>
      <c r="E55"/>
      <c r="F55"/>
      <c r="G55"/>
      <c r="H55"/>
      <c r="I55"/>
      <c r="J55"/>
      <c r="K55"/>
      <c r="L55"/>
    </row>
    <row r="56" spans="2:12" x14ac:dyDescent="0.35">
      <c r="B56"/>
      <c r="C56"/>
      <c r="D56"/>
      <c r="E56"/>
      <c r="F56"/>
      <c r="G56"/>
      <c r="H56"/>
      <c r="I56"/>
      <c r="J56"/>
      <c r="K56"/>
      <c r="L56"/>
    </row>
    <row r="57" spans="2:12" x14ac:dyDescent="0.35">
      <c r="B57"/>
      <c r="C57"/>
      <c r="D57"/>
      <c r="E57"/>
      <c r="F57"/>
      <c r="G57"/>
      <c r="H57"/>
      <c r="I57"/>
      <c r="J57"/>
      <c r="K57"/>
      <c r="L57"/>
    </row>
    <row r="58" spans="2:12" x14ac:dyDescent="0.35">
      <c r="B58"/>
      <c r="C58"/>
      <c r="D58"/>
      <c r="E58"/>
      <c r="F58"/>
      <c r="G58"/>
      <c r="H58"/>
      <c r="I58"/>
      <c r="J58"/>
      <c r="K58"/>
      <c r="L58"/>
    </row>
    <row r="59" spans="2:12" x14ac:dyDescent="0.35">
      <c r="B59"/>
      <c r="C59"/>
      <c r="D59"/>
      <c r="E59"/>
      <c r="F59"/>
      <c r="G59"/>
      <c r="H59"/>
      <c r="I59"/>
      <c r="J59"/>
      <c r="K59"/>
      <c r="L59"/>
    </row>
    <row r="60" spans="2:12" x14ac:dyDescent="0.35">
      <c r="B60"/>
      <c r="C60"/>
      <c r="D60"/>
      <c r="E60"/>
      <c r="F60"/>
      <c r="G60"/>
      <c r="H60"/>
      <c r="I60"/>
      <c r="J60"/>
      <c r="K60"/>
      <c r="L60"/>
    </row>
    <row r="61" spans="2:12" x14ac:dyDescent="0.35">
      <c r="B61"/>
      <c r="C61"/>
      <c r="D61"/>
      <c r="E61"/>
      <c r="F61"/>
      <c r="G61"/>
      <c r="H61"/>
      <c r="I61"/>
      <c r="J61"/>
      <c r="K61"/>
      <c r="L61"/>
    </row>
    <row r="62" spans="2:12" x14ac:dyDescent="0.35">
      <c r="B62"/>
      <c r="C62"/>
      <c r="D62"/>
      <c r="E62"/>
      <c r="F62"/>
      <c r="G62"/>
      <c r="H62"/>
      <c r="I62"/>
      <c r="J62"/>
      <c r="K62"/>
      <c r="L62"/>
    </row>
    <row r="63" spans="2:12" x14ac:dyDescent="0.35">
      <c r="B63"/>
      <c r="C63"/>
      <c r="D63"/>
      <c r="E63"/>
      <c r="F63"/>
      <c r="G63"/>
      <c r="H63"/>
      <c r="I63"/>
      <c r="J63"/>
      <c r="K63"/>
      <c r="L63"/>
    </row>
    <row r="64" spans="2:12" x14ac:dyDescent="0.35">
      <c r="B64"/>
      <c r="C64"/>
      <c r="D64"/>
      <c r="E64"/>
      <c r="F64"/>
      <c r="G64"/>
      <c r="H64"/>
      <c r="I64"/>
      <c r="J64"/>
      <c r="K64"/>
      <c r="L64"/>
    </row>
    <row r="65" spans="2:12" x14ac:dyDescent="0.35">
      <c r="B65"/>
      <c r="C65"/>
      <c r="D65"/>
      <c r="E65"/>
      <c r="F65"/>
      <c r="G65"/>
      <c r="H65"/>
      <c r="I65"/>
      <c r="J65"/>
      <c r="K65"/>
      <c r="L65"/>
    </row>
    <row r="66" spans="2:12" x14ac:dyDescent="0.35">
      <c r="B66"/>
      <c r="C66"/>
      <c r="D66"/>
      <c r="E66"/>
      <c r="F66"/>
      <c r="G66"/>
      <c r="H66"/>
      <c r="I66"/>
      <c r="J66"/>
      <c r="K66"/>
      <c r="L66"/>
    </row>
  </sheetData>
  <pageMargins left="0.7" right="0.7" top="0.75" bottom="0.75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DA78F-F864-457E-9D1F-706FF84A6F0F}">
  <dimension ref="B1:E34"/>
  <sheetViews>
    <sheetView showGridLines="0" topLeftCell="A3" zoomScale="70" zoomScaleNormal="70" workbookViewId="0">
      <selection activeCell="C30" sqref="C30"/>
    </sheetView>
  </sheetViews>
  <sheetFormatPr baseColWidth="10" defaultRowHeight="13.5" x14ac:dyDescent="0.35"/>
  <cols>
    <col min="3" max="3" width="43.58203125" customWidth="1"/>
    <col min="4" max="4" width="21" customWidth="1"/>
  </cols>
  <sheetData>
    <row r="1" spans="2:5" ht="14" thickBot="1" x14ac:dyDescent="0.4"/>
    <row r="2" spans="2:5" ht="14" thickBot="1" x14ac:dyDescent="0.4">
      <c r="D2" s="65" t="s">
        <v>52</v>
      </c>
      <c r="E2" s="74">
        <f>+C32</f>
        <v>42.578000000000003</v>
      </c>
    </row>
    <row r="4" spans="2:5" x14ac:dyDescent="0.35">
      <c r="B4" s="35" t="s">
        <v>44</v>
      </c>
    </row>
    <row r="5" spans="2:5" ht="14" thickBot="1" x14ac:dyDescent="0.4">
      <c r="B5" s="35"/>
    </row>
    <row r="6" spans="2:5" ht="14" thickBot="1" x14ac:dyDescent="0.4">
      <c r="C6" s="62" t="s">
        <v>51</v>
      </c>
    </row>
    <row r="7" spans="2:5" x14ac:dyDescent="0.35">
      <c r="B7" s="60">
        <v>45017</v>
      </c>
      <c r="C7" s="79">
        <f>50.87*0.8+51.11*0.2</f>
        <v>50.917999999999999</v>
      </c>
    </row>
    <row r="8" spans="2:5" x14ac:dyDescent="0.35">
      <c r="B8" s="61">
        <v>45047</v>
      </c>
      <c r="C8" s="63">
        <f>43.39*0.8+51.11*0.2</f>
        <v>44.934000000000005</v>
      </c>
    </row>
    <row r="9" spans="2:5" x14ac:dyDescent="0.35">
      <c r="B9" s="61">
        <v>45078</v>
      </c>
      <c r="C9" s="63">
        <f>40.68*0.8+51.11*0.2</f>
        <v>42.766000000000005</v>
      </c>
    </row>
    <row r="10" spans="2:5" x14ac:dyDescent="0.35">
      <c r="B10" s="61">
        <v>45108</v>
      </c>
      <c r="C10" s="63">
        <f>0.8*30.33+0.2*31.91</f>
        <v>30.646000000000001</v>
      </c>
      <c r="D10" s="64"/>
    </row>
    <row r="11" spans="2:5" x14ac:dyDescent="0.35">
      <c r="B11" s="61">
        <v>45139</v>
      </c>
      <c r="C11" s="63">
        <f>0.8*32.54+0.2*31.91</f>
        <v>32.414000000000001</v>
      </c>
      <c r="D11" s="64"/>
    </row>
    <row r="12" spans="2:5" x14ac:dyDescent="0.35">
      <c r="B12" s="61">
        <v>45170</v>
      </c>
      <c r="C12" s="63">
        <f>0.8*30.58+0.2*31.91</f>
        <v>30.846</v>
      </c>
      <c r="D12" s="64"/>
    </row>
    <row r="13" spans="2:5" x14ac:dyDescent="0.35">
      <c r="B13" s="78">
        <v>45200</v>
      </c>
      <c r="C13" s="63">
        <f>0.8*38.67+0.2*45.62</f>
        <v>40.06</v>
      </c>
      <c r="D13" s="64"/>
    </row>
    <row r="14" spans="2:5" x14ac:dyDescent="0.35">
      <c r="B14" s="78">
        <v>45231</v>
      </c>
      <c r="C14" s="63">
        <f>0.8*43.46+0.2*45.62</f>
        <v>43.892000000000003</v>
      </c>
      <c r="D14" s="64"/>
    </row>
    <row r="15" spans="2:5" x14ac:dyDescent="0.35">
      <c r="B15" s="78">
        <v>45261</v>
      </c>
      <c r="C15" s="63">
        <f>0.8*49.94+0.2*45.62</f>
        <v>49.076000000000001</v>
      </c>
      <c r="D15" s="64"/>
    </row>
    <row r="16" spans="2:5" x14ac:dyDescent="0.35">
      <c r="B16" s="78">
        <v>45292</v>
      </c>
      <c r="C16" s="63">
        <f>0.8*45.58+0.2*45.74</f>
        <v>45.612000000000002</v>
      </c>
      <c r="D16" s="64"/>
    </row>
    <row r="17" spans="2:4" x14ac:dyDescent="0.35">
      <c r="B17" s="78">
        <v>45323</v>
      </c>
      <c r="C17" s="63">
        <f>0.8*34.13+0.2*45.74</f>
        <v>36.452000000000005</v>
      </c>
      <c r="D17" s="64"/>
    </row>
    <row r="18" spans="2:4" x14ac:dyDescent="0.35">
      <c r="B18" s="78">
        <v>45352</v>
      </c>
      <c r="C18" s="63">
        <f>0.8*28.3+0.2*45.74</f>
        <v>31.788000000000004</v>
      </c>
      <c r="D18" s="64"/>
    </row>
    <row r="19" spans="2:4" x14ac:dyDescent="0.35">
      <c r="B19" s="78">
        <v>45383</v>
      </c>
      <c r="C19" s="63">
        <f>0.8*25.1+0.2*25.33</f>
        <v>25.146000000000001</v>
      </c>
      <c r="D19" s="64"/>
    </row>
    <row r="20" spans="2:4" x14ac:dyDescent="0.35">
      <c r="B20" s="78">
        <v>45413</v>
      </c>
      <c r="C20" s="63">
        <f>0.8*26.64+0.2*25.33</f>
        <v>26.378</v>
      </c>
      <c r="D20" s="64"/>
    </row>
    <row r="21" spans="2:4" x14ac:dyDescent="0.35">
      <c r="B21" s="78">
        <v>45444</v>
      </c>
      <c r="C21" s="63">
        <f>0.8*28.72+0.2*25.33</f>
        <v>28.041999999999998</v>
      </c>
      <c r="D21" s="64"/>
    </row>
    <row r="22" spans="2:4" x14ac:dyDescent="0.35">
      <c r="B22" s="78">
        <v>45474</v>
      </c>
      <c r="C22" s="63">
        <f>0.8*32.11+0.2*32.55</f>
        <v>32.198</v>
      </c>
      <c r="D22" s="64"/>
    </row>
    <row r="23" spans="2:4" x14ac:dyDescent="0.35">
      <c r="B23" s="78">
        <v>45505</v>
      </c>
      <c r="C23" s="63">
        <f>0.8*34.55+0.2*32.55</f>
        <v>34.15</v>
      </c>
      <c r="D23" s="64"/>
    </row>
    <row r="24" spans="2:4" x14ac:dyDescent="0.35">
      <c r="B24" s="78">
        <v>45536</v>
      </c>
      <c r="C24" s="63">
        <f>0.8*33.17+0.2*32.55</f>
        <v>33.045999999999999</v>
      </c>
      <c r="D24" s="64"/>
    </row>
    <row r="25" spans="2:4" x14ac:dyDescent="0.35">
      <c r="B25" s="78">
        <v>45566</v>
      </c>
      <c r="C25" s="63">
        <f>0.8*38.56+0.2*40.12</f>
        <v>38.872</v>
      </c>
      <c r="D25" s="64"/>
    </row>
    <row r="26" spans="2:4" x14ac:dyDescent="0.35">
      <c r="B26" s="78">
        <v>45597</v>
      </c>
      <c r="C26" s="63">
        <f>0.8*37.21+0.2*40.12</f>
        <v>37.792000000000002</v>
      </c>
      <c r="D26" s="64"/>
    </row>
    <row r="27" spans="2:4" x14ac:dyDescent="0.35">
      <c r="B27" s="78">
        <v>45627</v>
      </c>
      <c r="C27" s="63">
        <f>0.8*40.38+0.2*40.12</f>
        <v>40.328000000000003</v>
      </c>
      <c r="D27" s="64"/>
    </row>
    <row r="28" spans="2:4" x14ac:dyDescent="0.35">
      <c r="B28" s="78">
        <v>45658</v>
      </c>
      <c r="C28" s="63">
        <f>0.8*44.65+0.2*44.45</f>
        <v>44.61</v>
      </c>
      <c r="D28" s="64"/>
    </row>
    <row r="29" spans="2:4" x14ac:dyDescent="0.35">
      <c r="B29" s="78">
        <v>45689</v>
      </c>
      <c r="C29" s="63">
        <f>0.8*44.98+0.2*44.45</f>
        <v>44.874000000000002</v>
      </c>
      <c r="D29" s="64"/>
    </row>
    <row r="30" spans="2:4" x14ac:dyDescent="0.35">
      <c r="B30" s="78">
        <v>45717</v>
      </c>
      <c r="C30" s="63">
        <f>0.8*47.74+0.2*44.45</f>
        <v>47.082000000000001</v>
      </c>
      <c r="D30" s="64"/>
    </row>
    <row r="31" spans="2:4" x14ac:dyDescent="0.35">
      <c r="B31" s="78">
        <v>45748</v>
      </c>
      <c r="C31" s="63">
        <f>0.8*49.21+0.2*49.09</f>
        <v>49.186000000000007</v>
      </c>
      <c r="D31" s="64"/>
    </row>
    <row r="32" spans="2:4" ht="14" thickBot="1" x14ac:dyDescent="0.4">
      <c r="B32" s="72">
        <v>45778</v>
      </c>
      <c r="C32" s="73">
        <f>0.8*40.95+0.2*49.09</f>
        <v>42.578000000000003</v>
      </c>
      <c r="D32" s="64">
        <f>C32-C31</f>
        <v>-6.6080000000000041</v>
      </c>
    </row>
    <row r="33" spans="2:4" x14ac:dyDescent="0.35">
      <c r="B33" s="77"/>
      <c r="C33" s="64"/>
      <c r="D33" s="64"/>
    </row>
    <row r="34" spans="2:4" x14ac:dyDescent="0.35">
      <c r="B34" s="49" t="s">
        <v>46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0">
    <tabColor theme="8"/>
  </sheetPr>
  <dimension ref="B2:H18"/>
  <sheetViews>
    <sheetView showGridLines="0" topLeftCell="B2" zoomScale="94" zoomScaleNormal="70" workbookViewId="0">
      <selection activeCell="E5" sqref="E5"/>
    </sheetView>
  </sheetViews>
  <sheetFormatPr baseColWidth="10" defaultColWidth="11" defaultRowHeight="13.5" x14ac:dyDescent="0.35"/>
  <cols>
    <col min="1" max="1" width="11" style="36"/>
    <col min="2" max="2" width="18.58203125" style="36" customWidth="1"/>
    <col min="3" max="3" width="34.1640625" style="36" customWidth="1"/>
    <col min="4" max="4" width="15.08203125" style="36" bestFit="1" customWidth="1"/>
    <col min="5" max="5" width="17.5" style="36" customWidth="1"/>
    <col min="6" max="6" width="20.6640625" style="36" customWidth="1"/>
    <col min="7" max="7" width="14.08203125" style="36" bestFit="1" customWidth="1"/>
    <col min="8" max="16384" width="11" style="36"/>
  </cols>
  <sheetData>
    <row r="2" spans="2:8" ht="21.75" customHeight="1" x14ac:dyDescent="0.5">
      <c r="B2" s="39" t="s">
        <v>70</v>
      </c>
      <c r="E2" s="37"/>
    </row>
    <row r="3" spans="2:8" ht="23.25" customHeight="1" thickBot="1" x14ac:dyDescent="0.4">
      <c r="B3" s="6"/>
      <c r="C3" s="6"/>
      <c r="D3" s="6"/>
      <c r="E3" s="6"/>
    </row>
    <row r="4" spans="2:8" ht="15.75" customHeight="1" thickBot="1" x14ac:dyDescent="0.4">
      <c r="C4" s="108" t="s">
        <v>48</v>
      </c>
      <c r="D4" s="102" t="s">
        <v>49</v>
      </c>
      <c r="E4" s="103"/>
      <c r="F4" s="104"/>
    </row>
    <row r="5" spans="2:8" ht="14" thickBot="1" x14ac:dyDescent="0.4">
      <c r="B5" s="26" t="s">
        <v>22</v>
      </c>
      <c r="C5" s="109"/>
      <c r="D5" s="48" t="s">
        <v>39</v>
      </c>
      <c r="E5" s="48" t="s">
        <v>40</v>
      </c>
      <c r="F5" s="38" t="s">
        <v>41</v>
      </c>
    </row>
    <row r="6" spans="2:8" x14ac:dyDescent="0.35">
      <c r="B6" s="28" t="s">
        <v>24</v>
      </c>
      <c r="C6" s="54">
        <f>ATRD!D5+'Coûts commerciaux'!C5</f>
        <v>95.494065546218508</v>
      </c>
      <c r="D6" s="54">
        <f>ATRD!$E5+'Transport &amp; stockage'!C7+'Transport &amp; stockage'!F7+SUM('Coûts commerciaux'!$D5:$H5)+'Coûts d''approvisionnement'!$E$2</f>
        <v>100.6250464800742</v>
      </c>
      <c r="E6" s="54">
        <f>ATRD!$E5+'Transport &amp; stockage'!D7+'Transport &amp; stockage'!G7+SUM('Coûts commerciaux'!$D5:$H5)+'Coûts d''approvisionnement'!$E$2</f>
        <v>103.77618507224048</v>
      </c>
      <c r="F6" s="56">
        <f>ATRD!$E5+'Transport &amp; stockage'!E7+'Transport &amp; stockage'!H7+SUM('Coûts commerciaux'!$D5:$H5)+'Coûts d''approvisionnement'!$E$2</f>
        <v>110.52613530311031</v>
      </c>
      <c r="G6" s="75"/>
      <c r="H6" s="75"/>
    </row>
    <row r="7" spans="2:8" ht="14" thickBot="1" x14ac:dyDescent="0.4">
      <c r="B7" s="29" t="s">
        <v>21</v>
      </c>
      <c r="C7" s="55">
        <f>ATRD!D6+'Coûts commerciaux'!C6</f>
        <v>219.45406554621849</v>
      </c>
      <c r="D7" s="55">
        <f>ATRD!$E6+'Transport &amp; stockage'!C8+'Transport &amp; stockage'!F8+SUM('Coûts commerciaux'!$D6:$H6)+'Coûts d''approvisionnement'!$E$2</f>
        <v>72.30867409053316</v>
      </c>
      <c r="E7" s="55">
        <f>ATRD!$E6+'Transport &amp; stockage'!D8+'Transport &amp; stockage'!G8+SUM('Coûts commerciaux'!$D6:$H6)+'Coûts d''approvisionnement'!$E$2</f>
        <v>79.668268081925689</v>
      </c>
      <c r="F7" s="57">
        <f>ATRD!$E6+'Transport &amp; stockage'!E8+'Transport &amp; stockage'!H8+SUM('Coûts commerciaux'!$D6:$H6)+'Coûts d''approvisionnement'!$E$2</f>
        <v>94.481007933113005</v>
      </c>
      <c r="G7" s="75"/>
    </row>
    <row r="8" spans="2:8" x14ac:dyDescent="0.35">
      <c r="C8" s="50"/>
      <c r="E8" s="47"/>
      <c r="F8" s="47"/>
    </row>
    <row r="9" spans="2:8" ht="56.25" customHeight="1" x14ac:dyDescent="0.35">
      <c r="C9" s="110"/>
      <c r="D9" s="110"/>
      <c r="E9" s="110"/>
      <c r="F9" s="110"/>
    </row>
    <row r="11" spans="2:8" ht="14" thickBot="1" x14ac:dyDescent="0.4"/>
    <row r="12" spans="2:8" ht="14" thickBot="1" x14ac:dyDescent="0.4">
      <c r="C12" s="105" t="s">
        <v>45</v>
      </c>
      <c r="D12" s="106"/>
      <c r="E12" s="107"/>
    </row>
    <row r="13" spans="2:8" ht="14" thickBot="1" x14ac:dyDescent="0.4">
      <c r="B13" s="46" t="s">
        <v>22</v>
      </c>
      <c r="C13" s="33" t="s">
        <v>39</v>
      </c>
      <c r="D13" s="38" t="s">
        <v>40</v>
      </c>
      <c r="E13" s="38" t="s">
        <v>41</v>
      </c>
    </row>
    <row r="14" spans="2:8" x14ac:dyDescent="0.35">
      <c r="B14" s="28" t="s">
        <v>24</v>
      </c>
      <c r="C14" s="54">
        <f>ATRD!D5+'Coûts commerciaux'!C5+'Consommateurs types'!D5*(ATRD!E5+'Transport &amp; stockage'!C7+'Transport &amp; stockage'!F7+'Coûts commerciaux'!D5+'Coûts commerciaux'!E5+'Coûts commerciaux'!F5+'Coûts commerciaux'!G5+'Coûts commerciaux'!H5+'Coûts d''approvisionnement'!$E$2)</f>
        <v>241.40038294232613</v>
      </c>
      <c r="D14" s="54">
        <f>ATRD!D5+'Coûts commerciaux'!C5+'Consommateurs types'!D5*(ATRD!E5+'Transport &amp; stockage'!G7+'Transport &amp; stockage'!D7+'Coûts commerciaux'!D5+'Coûts commerciaux'!E5+'Coûts commerciaux'!F5+'Coûts commerciaux'!G5+'Coûts commerciaux'!H5+'Coûts d''approvisionnement'!E2)</f>
        <v>245.96953390096721</v>
      </c>
      <c r="E14" s="56">
        <f>+ATRD!D5+'Coûts commerciaux'!C5+'Consommateurs types'!D5*(ATRD!E5+'Transport &amp; stockage'!E7+'Transport &amp; stockage'!H7+'Coûts commerciaux'!D5+'Coûts commerciaux'!E5+'Coûts commerciaux'!F5+'Coûts commerciaux'!G5+'Coûts commerciaux'!H5+'Coûts d''approvisionnement'!E2)</f>
        <v>255.75696173572848</v>
      </c>
    </row>
    <row r="15" spans="2:8" ht="14" thickBot="1" x14ac:dyDescent="0.4">
      <c r="B15" s="29" t="s">
        <v>21</v>
      </c>
      <c r="C15" s="55">
        <f>ATRD!D6+'Coûts commerciaux'!C6+'Consommateurs types'!D6*(ATRD!E6+'Transport &amp; stockage'!C8+'Transport &amp; stockage'!F8+'Coûts commerciaux'!D6+'Coûts commerciaux'!E6+'Coûts commerciaux'!F6+'Coûts commerciaux'!G6+'Coûts commerciaux'!H6+'Coûts d''approvisionnement'!E2)</f>
        <v>1098.7275424871018</v>
      </c>
      <c r="D15" s="55">
        <f>ATRD!D6+'Coûts commerciaux'!C6+'Consommateurs types'!D6*(ATRD!E6+'Transport &amp; stockage'!G8+'Transport &amp; stockage'!D8+'Coûts commerciaux'!D6+'Coûts commerciaux'!E6+'Coûts commerciaux'!F6+'Coûts commerciaux'!G6+'Coûts commerciaux'!H6+'Coûts d''approvisionnement'!E2)</f>
        <v>1188.2202054224351</v>
      </c>
      <c r="E15" s="57">
        <f>+ATRD!D6+'Coûts commerciaux'!C6+'Consommateurs types'!D6*(ATRD!E6+'Transport &amp; stockage'!E8+'Transport &amp; stockage'!H8+'Coûts commerciaux'!D6+'Coûts commerciaux'!E6+'Coûts commerciaux'!F6+'Coûts commerciaux'!G6+'Coûts commerciaux'!H6+'Coûts d''approvisionnement'!E2)</f>
        <v>1368.3431220128728</v>
      </c>
    </row>
    <row r="17" spans="6:6" x14ac:dyDescent="0.35">
      <c r="F17" s="7"/>
    </row>
    <row r="18" spans="6:6" x14ac:dyDescent="0.35">
      <c r="F18" s="7"/>
    </row>
  </sheetData>
  <mergeCells count="4">
    <mergeCell ref="D4:F4"/>
    <mergeCell ref="C12:E12"/>
    <mergeCell ref="C4:C5"/>
    <mergeCell ref="C9:F9"/>
  </mergeCells>
  <pageMargins left="0.7" right="0.7" top="0.75" bottom="0.75" header="0.3" footer="0.3"/>
  <pageSetup paperSize="9" scale="62" orientation="portrait" r:id="rId1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431F8-A9FE-4B8F-8A08-237D2E154D10}">
  <sheetPr>
    <tabColor theme="8"/>
  </sheetPr>
  <dimension ref="B2:J21"/>
  <sheetViews>
    <sheetView showGridLines="0" topLeftCell="A2" zoomScale="90" zoomScaleNormal="100" workbookViewId="0">
      <selection activeCell="C17" sqref="C17:D17"/>
    </sheetView>
  </sheetViews>
  <sheetFormatPr baseColWidth="10" defaultColWidth="11" defaultRowHeight="13.5" x14ac:dyDescent="0.35"/>
  <cols>
    <col min="1" max="1" width="11" style="7"/>
    <col min="2" max="2" width="17.08203125" style="7" customWidth="1"/>
    <col min="3" max="3" width="26.6640625" style="7" customWidth="1"/>
    <col min="4" max="4" width="12.5" style="7" bestFit="1" customWidth="1"/>
    <col min="5" max="5" width="15.58203125" style="7" customWidth="1"/>
    <col min="6" max="6" width="22.1640625" style="7" customWidth="1"/>
    <col min="7" max="7" width="21" style="7" customWidth="1"/>
    <col min="8" max="9" width="9.58203125" style="7" customWidth="1"/>
    <col min="10" max="16384" width="11" style="7"/>
  </cols>
  <sheetData>
    <row r="2" spans="2:10" ht="21.75" customHeight="1" x14ac:dyDescent="0.5">
      <c r="B2" s="39" t="s">
        <v>71</v>
      </c>
      <c r="H2" s="11"/>
      <c r="I2" s="12"/>
    </row>
    <row r="3" spans="2:10" ht="23.25" customHeight="1" thickBot="1" x14ac:dyDescent="0.4">
      <c r="B3" s="117"/>
      <c r="C3" s="117"/>
      <c r="D3" s="117"/>
      <c r="E3" s="117"/>
      <c r="G3"/>
      <c r="H3" s="11"/>
      <c r="I3" s="12"/>
    </row>
    <row r="4" spans="2:10" ht="15" thickBot="1" x14ac:dyDescent="0.4">
      <c r="C4" s="108" t="s">
        <v>0</v>
      </c>
      <c r="D4" s="102" t="s">
        <v>42</v>
      </c>
      <c r="E4" s="103"/>
      <c r="F4" s="104"/>
      <c r="G4" s="11"/>
    </row>
    <row r="5" spans="2:10" ht="14" thickBot="1" x14ac:dyDescent="0.4">
      <c r="B5" s="22" t="s">
        <v>22</v>
      </c>
      <c r="C5" s="109"/>
      <c r="D5" s="53" t="s">
        <v>39</v>
      </c>
      <c r="E5" s="53" t="s">
        <v>40</v>
      </c>
      <c r="F5" s="53" t="s">
        <v>41</v>
      </c>
      <c r="G5" s="14"/>
    </row>
    <row r="6" spans="2:10" x14ac:dyDescent="0.35">
      <c r="B6" s="28" t="s">
        <v>24</v>
      </c>
      <c r="C6" s="54">
        <f>('Grille tarifaire HT'!C6+C$14)*(1+C$15)</f>
        <v>114.30298915126052</v>
      </c>
      <c r="D6" s="54">
        <f>(1+$C$16)*($C$17+'Grille tarifaire HT'!D6)</f>
        <v>141.34205577608904</v>
      </c>
      <c r="E6" s="54">
        <f>(1+$C$16)*($C$17+'Grille tarifaire HT'!E6)</f>
        <v>145.12342208668858</v>
      </c>
      <c r="F6" s="56">
        <f>(1+$C$16)*($C$17+'Grille tarifaire HT'!F6)</f>
        <v>153.22336236373235</v>
      </c>
      <c r="G6" s="14"/>
      <c r="H6"/>
      <c r="I6" s="64"/>
    </row>
    <row r="7" spans="2:10" ht="14" thickBot="1" x14ac:dyDescent="0.4">
      <c r="B7" s="29" t="s">
        <v>21</v>
      </c>
      <c r="C7" s="55">
        <f>('Grille tarifaire HT'!C7+D$14)*(1+C$15)</f>
        <v>277.42708915126047</v>
      </c>
      <c r="D7" s="55">
        <f>(1+$C$16)*($C$17+'Grille tarifaire HT'!D7)</f>
        <v>107.36240890863978</v>
      </c>
      <c r="E7" s="55">
        <f>(1+$C$16)*($C$17+'Grille tarifaire HT'!E7)</f>
        <v>116.19392169831082</v>
      </c>
      <c r="F7" s="57">
        <f>(1+$C$16)*($C$17+'Grille tarifaire HT'!F7)</f>
        <v>133.96920951973559</v>
      </c>
      <c r="G7" s="8"/>
      <c r="H7"/>
      <c r="I7"/>
    </row>
    <row r="8" spans="2:10" x14ac:dyDescent="0.35">
      <c r="C8" s="50" t="s">
        <v>50</v>
      </c>
      <c r="D8" s="15"/>
      <c r="E8" s="15"/>
      <c r="F8" s="15"/>
      <c r="G8"/>
      <c r="I8"/>
      <c r="J8"/>
    </row>
    <row r="9" spans="2:10" x14ac:dyDescent="0.35">
      <c r="D9" s="19"/>
      <c r="E9" s="19"/>
      <c r="F9" s="15"/>
      <c r="G9"/>
      <c r="H9"/>
      <c r="I9"/>
      <c r="J9"/>
    </row>
    <row r="10" spans="2:10" x14ac:dyDescent="0.35">
      <c r="D10"/>
      <c r="E10"/>
      <c r="F10" s="15"/>
      <c r="G10" s="15"/>
      <c r="H10"/>
      <c r="I10" s="23"/>
      <c r="J10" s="23"/>
    </row>
    <row r="11" spans="2:10" ht="14" thickBot="1" x14ac:dyDescent="0.4">
      <c r="E11"/>
      <c r="G11" s="15"/>
      <c r="H11"/>
      <c r="I11" s="14"/>
    </row>
    <row r="12" spans="2:10" ht="14" thickBot="1" x14ac:dyDescent="0.4">
      <c r="B12" s="118" t="s">
        <v>69</v>
      </c>
      <c r="C12" s="119"/>
      <c r="D12" s="120"/>
      <c r="G12" s="15"/>
      <c r="H12"/>
      <c r="I12" s="14"/>
    </row>
    <row r="13" spans="2:10" ht="14" thickBot="1" x14ac:dyDescent="0.4">
      <c r="B13" s="22" t="s">
        <v>18</v>
      </c>
      <c r="C13" s="22" t="s">
        <v>7</v>
      </c>
      <c r="D13" s="5" t="s">
        <v>8</v>
      </c>
      <c r="F13"/>
      <c r="G13"/>
      <c r="H13" s="15"/>
    </row>
    <row r="14" spans="2:10" x14ac:dyDescent="0.35">
      <c r="B14" s="59" t="s">
        <v>16</v>
      </c>
      <c r="C14" s="56">
        <v>12.85</v>
      </c>
      <c r="D14" s="56">
        <v>43.51</v>
      </c>
      <c r="E14"/>
      <c r="F14"/>
      <c r="G14"/>
    </row>
    <row r="15" spans="2:10" x14ac:dyDescent="0.35">
      <c r="B15" s="59" t="s">
        <v>11</v>
      </c>
      <c r="C15" s="111">
        <v>5.5E-2</v>
      </c>
      <c r="D15" s="112"/>
      <c r="E15"/>
      <c r="F15"/>
      <c r="G15"/>
    </row>
    <row r="16" spans="2:10" x14ac:dyDescent="0.35">
      <c r="B16" s="59" t="s">
        <v>12</v>
      </c>
      <c r="C16" s="113">
        <v>0.2</v>
      </c>
      <c r="D16" s="114"/>
      <c r="E16"/>
      <c r="F16"/>
      <c r="G16"/>
    </row>
    <row r="17" spans="2:7" ht="14" thickBot="1" x14ac:dyDescent="0.4">
      <c r="B17" s="16" t="s">
        <v>15</v>
      </c>
      <c r="C17" s="115">
        <f>17.16</f>
        <v>17.16</v>
      </c>
      <c r="D17" s="116"/>
      <c r="E17"/>
      <c r="F17"/>
      <c r="G17"/>
    </row>
    <row r="18" spans="2:7" x14ac:dyDescent="0.35">
      <c r="D18"/>
      <c r="E18"/>
      <c r="F18"/>
      <c r="G18"/>
    </row>
    <row r="19" spans="2:7" x14ac:dyDescent="0.35">
      <c r="D19"/>
      <c r="E19"/>
      <c r="F19"/>
      <c r="G19"/>
    </row>
    <row r="20" spans="2:7" x14ac:dyDescent="0.35">
      <c r="D20"/>
      <c r="E20"/>
      <c r="F20"/>
      <c r="G20"/>
    </row>
    <row r="21" spans="2:7" x14ac:dyDescent="0.35">
      <c r="F21"/>
      <c r="G21"/>
    </row>
  </sheetData>
  <mergeCells count="7">
    <mergeCell ref="C15:D15"/>
    <mergeCell ref="C16:D16"/>
    <mergeCell ref="C17:D17"/>
    <mergeCell ref="D4:F4"/>
    <mergeCell ref="B3:E3"/>
    <mergeCell ref="C4:C5"/>
    <mergeCell ref="B12:D12"/>
  </mergeCells>
  <pageMargins left="0.7" right="0.7" top="0.75" bottom="0.75" header="0.3" footer="0.3"/>
  <pageSetup paperSize="9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B68E0-675D-4EA7-B505-20F62B03FF95}">
  <sheetPr>
    <tabColor theme="8"/>
  </sheetPr>
  <dimension ref="B2:F14"/>
  <sheetViews>
    <sheetView showGridLines="0" workbookViewId="0">
      <selection activeCell="C6" sqref="C6:F7"/>
    </sheetView>
  </sheetViews>
  <sheetFormatPr baseColWidth="10" defaultRowHeight="13.5" x14ac:dyDescent="0.35"/>
  <cols>
    <col min="2" max="2" width="18.08203125" customWidth="1"/>
    <col min="3" max="3" width="11.08203125" bestFit="1" customWidth="1"/>
  </cols>
  <sheetData>
    <row r="2" spans="2:6" x14ac:dyDescent="0.35">
      <c r="B2" s="121" t="s">
        <v>65</v>
      </c>
      <c r="C2" s="121"/>
      <c r="D2" s="121"/>
      <c r="E2" s="121"/>
      <c r="F2" s="121"/>
    </row>
    <row r="3" spans="2:6" ht="14" thickBot="1" x14ac:dyDescent="0.4"/>
    <row r="4" spans="2:6" ht="14" thickBot="1" x14ac:dyDescent="0.4">
      <c r="B4" s="66"/>
      <c r="C4" s="122" t="s">
        <v>24</v>
      </c>
      <c r="D4" s="122"/>
      <c r="E4" s="122" t="s">
        <v>21</v>
      </c>
      <c r="F4" s="123"/>
    </row>
    <row r="5" spans="2:6" ht="14" thickBot="1" x14ac:dyDescent="0.4">
      <c r="B5" s="67"/>
      <c r="C5" s="68" t="s">
        <v>53</v>
      </c>
      <c r="D5" s="68" t="s">
        <v>54</v>
      </c>
      <c r="E5" s="68" t="s">
        <v>53</v>
      </c>
      <c r="F5" s="68" t="s">
        <v>54</v>
      </c>
    </row>
    <row r="6" spans="2:6" ht="24" customHeight="1" thickBot="1" x14ac:dyDescent="0.4">
      <c r="B6" s="67" t="s">
        <v>55</v>
      </c>
      <c r="C6" s="69">
        <f>'Grille tarifaire HT'!C6</f>
        <v>95.494065546218508</v>
      </c>
      <c r="D6" s="69">
        <f>'Grille tarifaire TTC'!C6</f>
        <v>114.30298915126052</v>
      </c>
      <c r="E6" s="69">
        <f>'Grille tarifaire HT'!C7</f>
        <v>219.45406554621849</v>
      </c>
      <c r="F6" s="69">
        <f>'Grille tarifaire TTC'!C7</f>
        <v>277.42708915126047</v>
      </c>
    </row>
    <row r="7" spans="2:6" ht="27.5" thickBot="1" x14ac:dyDescent="0.4">
      <c r="B7" s="67" t="s">
        <v>56</v>
      </c>
      <c r="C7" s="70">
        <f>ROUND('Grille tarifaire HT'!E6,2)/1000</f>
        <v>0.10378</v>
      </c>
      <c r="D7" s="70">
        <f>ROUND('Grille tarifaire TTC'!E6,2)/1000</f>
        <v>0.14512</v>
      </c>
      <c r="E7" s="70">
        <f>ROUND('Grille tarifaire HT'!E7,2)/1000</f>
        <v>7.9670000000000005E-2</v>
      </c>
      <c r="F7" s="70">
        <f>ROUND('Grille tarifaire TTC'!E7,2)/1000</f>
        <v>0.11619</v>
      </c>
    </row>
    <row r="8" spans="2:6" ht="27.5" thickBot="1" x14ac:dyDescent="0.4">
      <c r="B8" s="67" t="s">
        <v>57</v>
      </c>
      <c r="C8" s="71">
        <f>ROUND('Grille tarifaire HT'!D6,2)/1000</f>
        <v>0.10063</v>
      </c>
      <c r="D8" s="71">
        <f>ROUND('Grille tarifaire TTC'!D6,2)/1000</f>
        <v>0.14133999999999999</v>
      </c>
      <c r="E8" s="71">
        <f>ROUND('Grille tarifaire HT'!D7,2)/1000</f>
        <v>7.2309999999999999E-2</v>
      </c>
      <c r="F8" s="71">
        <f>ROUND('Grille tarifaire TTC'!D7,2)/1000</f>
        <v>0.10736</v>
      </c>
    </row>
    <row r="9" spans="2:6" ht="27.5" thickBot="1" x14ac:dyDescent="0.4">
      <c r="B9" s="67" t="s">
        <v>58</v>
      </c>
      <c r="C9" s="70">
        <f>ROUND('Grille tarifaire HT'!F6,2)/1000</f>
        <v>0.11053</v>
      </c>
      <c r="D9" s="70">
        <f>ROUND('Grille tarifaire TTC'!F6,2)/1000</f>
        <v>0.15322</v>
      </c>
      <c r="E9" s="70">
        <f>ROUND('Grille tarifaire HT'!F7,2)/1000</f>
        <v>9.4480000000000008E-2</v>
      </c>
      <c r="F9" s="70">
        <f>ROUND('Grille tarifaire TTC'!F7,2)/1000</f>
        <v>0.13397000000000001</v>
      </c>
    </row>
    <row r="14" spans="2:6" x14ac:dyDescent="0.35">
      <c r="C14" s="76"/>
    </row>
  </sheetData>
  <mergeCells count="3">
    <mergeCell ref="B2:F2"/>
    <mergeCell ref="C4:D4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8</vt:i4>
      </vt:variant>
    </vt:vector>
  </HeadingPairs>
  <TitlesOfParts>
    <vt:vector size="19" baseType="lpstr">
      <vt:lpstr>Présentation</vt:lpstr>
      <vt:lpstr>Consommateurs types</vt:lpstr>
      <vt:lpstr>ATRD</vt:lpstr>
      <vt:lpstr>Transport &amp; stockage</vt:lpstr>
      <vt:lpstr>Coûts commerciaux</vt:lpstr>
      <vt:lpstr>Coûts d'approvisionnement</vt:lpstr>
      <vt:lpstr>Grille tarifaire HT</vt:lpstr>
      <vt:lpstr>Grille tarifaire TTC</vt:lpstr>
      <vt:lpstr>Grilles CP</vt:lpstr>
      <vt:lpstr>Historique grilles</vt:lpstr>
      <vt:lpstr>Historique PRVG moyen</vt:lpstr>
      <vt:lpstr>'Coûts d''approvisionnement'!_ftn1</vt:lpstr>
      <vt:lpstr>ATRD!Zone_d_impression</vt:lpstr>
      <vt:lpstr>'Consommateurs types'!Zone_d_impression</vt:lpstr>
      <vt:lpstr>'Coûts commerciaux'!Zone_d_impression</vt:lpstr>
      <vt:lpstr>'Grille tarifaire HT'!Zone_d_impression</vt:lpstr>
      <vt:lpstr>'Grille tarifaire TTC'!Zone_d_impression</vt:lpstr>
      <vt:lpstr>Présentation!Zone_d_impression</vt:lpstr>
      <vt:lpstr>'Transport &amp; stockage'!Zone_d_impression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2019-07-03T13:36:44Z</dcterms:created>
  <dcterms:modified xsi:type="dcterms:W3CDTF">2025-04-03T12:16:10Z</dcterms:modified>
</cp:coreProperties>
</file>