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8_{C75C63B9-2832-4CE1-9F36-0972771940E1}" xr6:coauthVersionLast="47" xr6:coauthVersionMax="47" xr10:uidLastSave="{00000000-0000-0000-0000-000000000000}"/>
  <bookViews>
    <workbookView xWindow="-57720" yWindow="-120" windowWidth="29040" windowHeight="15720" tabRatio="881" activeTab="1" xr2:uid="{00000000-000D-0000-FFFF-FFFF00000000}"/>
  </bookViews>
  <sheets>
    <sheet name="NOTICE" sheetId="4" r:id="rId1"/>
    <sheet name="Equilibre prévisionnel" sheetId="17" r:id="rId2"/>
    <sheet name="IPC" sheetId="16" r:id="rId3"/>
    <sheet name="Montants réalisés" sheetId="18" r:id="rId4"/>
    <sheet name="CRCP &amp; évolutions" sheetId="5" r:id="rId5"/>
    <sheet name="Grille tarifaire" sheetId="9" r:id="rId6"/>
    <sheet name="CG" sheetId="2" r:id="rId7"/>
    <sheet name="CC" sheetId="6" r:id="rId8"/>
    <sheet name="CI" sheetId="8" r:id="rId9"/>
    <sheet name="CS - HTB 3" sheetId="7" r:id="rId10"/>
    <sheet name="CS et CMDPS - HTB 2" sheetId="19" r:id="rId11"/>
    <sheet name="CS et CMDPS - HTB 1" sheetId="20" r:id="rId12"/>
    <sheet name="CACS" sheetId="12" r:id="rId13"/>
    <sheet name="CR" sheetId="13" r:id="rId14"/>
    <sheet name="CT" sheetId="14" r:id="rId15"/>
    <sheet name="CDPP" sheetId="21" r:id="rId16"/>
    <sheet name="CER" sheetId="15" r:id="rId17"/>
  </sheets>
  <definedNames>
    <definedName name="solver_adj" localSheetId="4" hidden="1">'CRCP &amp; évolutions'!$F$83</definedName>
    <definedName name="solver_cvg" localSheetId="4" hidden="1">0.0001</definedName>
    <definedName name="solver_drv" localSheetId="4" hidden="1">1</definedName>
    <definedName name="solver_eng" localSheetId="4" hidden="1">1</definedName>
    <definedName name="solver_est" localSheetId="4" hidden="1">1</definedName>
    <definedName name="solver_itr" localSheetId="4" hidden="1">2147483647</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od" localSheetId="4" hidden="1">2147483647</definedName>
    <definedName name="solver_num" localSheetId="4" hidden="1">0</definedName>
    <definedName name="solver_nwt" localSheetId="4" hidden="1">1</definedName>
    <definedName name="solver_opt" localSheetId="4" hidden="1">'CRCP &amp; évolutions'!#REF!</definedName>
    <definedName name="solver_pre" localSheetId="4" hidden="1">0.000001</definedName>
    <definedName name="solver_rbv" localSheetId="4" hidden="1">1</definedName>
    <definedName name="solver_rlx" localSheetId="4" hidden="1">2</definedName>
    <definedName name="solver_rsd" localSheetId="4" hidden="1">0</definedName>
    <definedName name="solver_scl" localSheetId="4" hidden="1">1</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0</definedName>
    <definedName name="solver_ver" localSheetId="4" hidde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17" l="1"/>
  <c r="F82" i="17"/>
  <c r="G82" i="17"/>
  <c r="H82" i="17"/>
  <c r="I82" i="17"/>
  <c r="F11" i="5"/>
  <c r="G76" i="5" l="1"/>
  <c r="G75" i="5" l="1"/>
  <c r="F39" i="5" l="1"/>
  <c r="K101" i="9"/>
  <c r="K100" i="9"/>
  <c r="F58" i="5" l="1"/>
  <c r="F62" i="5" l="1"/>
  <c r="F71" i="17"/>
  <c r="F68" i="17"/>
  <c r="F69" i="17"/>
  <c r="E72" i="17"/>
  <c r="E77" i="17"/>
  <c r="F67" i="17"/>
  <c r="F70" i="17"/>
  <c r="F77" i="17"/>
  <c r="F81" i="17"/>
  <c r="F80" i="17"/>
  <c r="G78" i="17"/>
  <c r="G80" i="17"/>
  <c r="G77" i="17"/>
  <c r="D12" i="18" l="1"/>
  <c r="F21" i="5"/>
  <c r="F24" i="5" l="1"/>
  <c r="E24" i="5"/>
  <c r="E22" i="5" l="1"/>
  <c r="F22" i="5" l="1"/>
  <c r="D10" i="18"/>
  <c r="F55" i="17"/>
  <c r="I7" i="16"/>
  <c r="D44" i="16" s="1"/>
  <c r="I8" i="16" l="1"/>
  <c r="E59" i="17" l="1"/>
  <c r="E69" i="17"/>
  <c r="G22" i="5" l="1"/>
  <c r="H22" i="5"/>
  <c r="E39" i="5"/>
  <c r="E54" i="17"/>
  <c r="F64" i="17" l="1"/>
  <c r="E64" i="17" l="1"/>
  <c r="E61" i="17" l="1"/>
  <c r="F56" i="17" l="1"/>
  <c r="F57" i="17" s="1"/>
  <c r="E40" i="5" l="1"/>
  <c r="E21" i="5"/>
  <c r="D8" i="17" l="1"/>
  <c r="E8" i="17" s="1"/>
  <c r="F40" i="5"/>
  <c r="G40" i="5"/>
  <c r="H40" i="5"/>
  <c r="C30" i="18"/>
  <c r="C22" i="18"/>
  <c r="C12" i="18"/>
  <c r="C10" i="18" l="1"/>
  <c r="G21" i="5" l="1"/>
  <c r="H21" i="5"/>
  <c r="E61" i="5" l="1"/>
  <c r="E19" i="5"/>
  <c r="E68" i="17"/>
  <c r="E55" i="17"/>
  <c r="E63" i="17" l="1"/>
  <c r="E62" i="17"/>
  <c r="E58" i="17"/>
  <c r="E80" i="17"/>
  <c r="F10" i="5"/>
  <c r="G10" i="5"/>
  <c r="H10" i="5"/>
  <c r="D11" i="5"/>
  <c r="E11" i="5" s="1"/>
  <c r="H10" i="16"/>
  <c r="G10" i="16"/>
  <c r="E8" i="18" l="1"/>
  <c r="F8" i="18"/>
  <c r="E9" i="18"/>
  <c r="F9" i="18"/>
  <c r="E10" i="18"/>
  <c r="F10" i="18"/>
  <c r="E12" i="18"/>
  <c r="F12" i="18"/>
  <c r="E14" i="18"/>
  <c r="F14" i="18"/>
  <c r="E15" i="18"/>
  <c r="F15" i="18"/>
  <c r="E16" i="18"/>
  <c r="F16" i="18"/>
  <c r="E18" i="18"/>
  <c r="F18" i="18"/>
  <c r="E19" i="18"/>
  <c r="F19" i="18"/>
  <c r="E20" i="18"/>
  <c r="F20" i="18"/>
  <c r="D21" i="18"/>
  <c r="E21" i="18"/>
  <c r="F21" i="18"/>
  <c r="E23" i="18"/>
  <c r="F23" i="18"/>
  <c r="C21" i="18"/>
  <c r="C23" i="18"/>
  <c r="C20" i="18"/>
  <c r="F9" i="5" l="1"/>
  <c r="G9" i="5"/>
  <c r="H9" i="5"/>
  <c r="J46" i="17"/>
  <c r="H66" i="5"/>
  <c r="I85" i="17" l="1"/>
  <c r="H77" i="17"/>
  <c r="G64" i="17" l="1"/>
  <c r="H64" i="17"/>
  <c r="G56" i="17"/>
  <c r="G57" i="17" l="1"/>
  <c r="G24" i="5" l="1"/>
  <c r="H24" i="5"/>
  <c r="F28" i="5" l="1"/>
  <c r="G28" i="5"/>
  <c r="H28" i="5"/>
  <c r="F29" i="5"/>
  <c r="G29" i="5"/>
  <c r="H29" i="5"/>
  <c r="E29" i="5"/>
  <c r="E28" i="5"/>
  <c r="F27" i="5"/>
  <c r="G27" i="5"/>
  <c r="H27" i="5"/>
  <c r="E27" i="5"/>
  <c r="J20" i="17" l="1"/>
  <c r="J21" i="17"/>
  <c r="J22" i="17"/>
  <c r="J23" i="17"/>
  <c r="J24" i="17"/>
  <c r="J27" i="17"/>
  <c r="J28" i="17"/>
  <c r="J29" i="17"/>
  <c r="J30" i="17"/>
  <c r="J31" i="17"/>
  <c r="H56" i="17"/>
  <c r="H57" i="17" s="1"/>
  <c r="G55" i="17" l="1"/>
  <c r="H55" i="17"/>
  <c r="J35" i="17" l="1"/>
  <c r="J36" i="17"/>
  <c r="J37" i="17"/>
  <c r="J38" i="17"/>
  <c r="J39" i="17"/>
  <c r="J33" i="17"/>
  <c r="E12" i="17" l="1"/>
  <c r="E25" i="17" s="1"/>
  <c r="C7" i="18"/>
  <c r="E46" i="5" l="1"/>
  <c r="F46" i="5"/>
  <c r="G46" i="5"/>
  <c r="H46" i="5"/>
  <c r="F47" i="5"/>
  <c r="G47" i="5"/>
  <c r="H47" i="5"/>
  <c r="E48" i="5"/>
  <c r="F48" i="5"/>
  <c r="G48" i="5"/>
  <c r="H48" i="5"/>
  <c r="E49" i="5"/>
  <c r="F49" i="5"/>
  <c r="G49" i="5"/>
  <c r="H49" i="5"/>
  <c r="E50" i="5"/>
  <c r="F50" i="5"/>
  <c r="G50" i="5"/>
  <c r="H50" i="5"/>
  <c r="E44" i="5"/>
  <c r="F44" i="5"/>
  <c r="G44" i="5"/>
  <c r="H44" i="5"/>
  <c r="E41" i="5"/>
  <c r="F41" i="5"/>
  <c r="G41" i="5"/>
  <c r="H41" i="5"/>
  <c r="F30" i="5"/>
  <c r="G30" i="5"/>
  <c r="H30" i="5"/>
  <c r="E30" i="5"/>
  <c r="F26" i="5" l="1"/>
  <c r="G26" i="5"/>
  <c r="H26" i="5"/>
  <c r="E26" i="5"/>
  <c r="E18" i="5"/>
  <c r="F18" i="5" l="1"/>
  <c r="G18" i="5"/>
  <c r="H18" i="5"/>
  <c r="K41" i="17" l="1"/>
  <c r="F32" i="17"/>
  <c r="G32" i="17"/>
  <c r="H32" i="17"/>
  <c r="E32" i="17"/>
  <c r="E48" i="17" s="1"/>
  <c r="G39" i="5" l="1"/>
  <c r="H39" i="5"/>
  <c r="E38" i="5"/>
  <c r="F38" i="5"/>
  <c r="G38" i="5"/>
  <c r="H38" i="5"/>
  <c r="F37" i="5"/>
  <c r="G37" i="5"/>
  <c r="H37" i="5"/>
  <c r="E37" i="5"/>
  <c r="H64" i="5" l="1"/>
  <c r="H65" i="5"/>
  <c r="G8" i="15"/>
  <c r="G7" i="15"/>
  <c r="D8" i="15"/>
  <c r="D7" i="15"/>
  <c r="G25" i="5"/>
  <c r="H25" i="5"/>
  <c r="E25" i="5"/>
  <c r="H9" i="16" l="1"/>
  <c r="G9" i="16"/>
  <c r="G7" i="16" l="1"/>
  <c r="H7" i="16"/>
  <c r="F7" i="18" l="1"/>
  <c r="F19" i="5" l="1"/>
  <c r="G19" i="5"/>
  <c r="H19" i="5"/>
  <c r="D7" i="18"/>
  <c r="E7" i="18"/>
  <c r="G12" i="17" l="1"/>
  <c r="G25" i="17" s="1"/>
  <c r="D8" i="21" l="1"/>
  <c r="D7" i="21"/>
  <c r="E8" i="14"/>
  <c r="E9" i="14"/>
  <c r="E7" i="14"/>
  <c r="E12" i="13"/>
  <c r="E11" i="13"/>
  <c r="E10" i="13"/>
  <c r="E9" i="13"/>
  <c r="D7" i="13"/>
  <c r="O11" i="12"/>
  <c r="N11" i="12"/>
  <c r="M11" i="12"/>
  <c r="O9" i="12"/>
  <c r="N9" i="12"/>
  <c r="M9" i="12"/>
  <c r="O7" i="12"/>
  <c r="N7" i="12"/>
  <c r="M7" i="12"/>
  <c r="I10" i="12"/>
  <c r="I7" i="12"/>
  <c r="F12" i="12"/>
  <c r="F11" i="12"/>
  <c r="D11" i="12"/>
  <c r="F10" i="12"/>
  <c r="F9" i="12"/>
  <c r="D9" i="12"/>
  <c r="E7" i="12"/>
  <c r="D7" i="12"/>
  <c r="V9" i="20"/>
  <c r="U9" i="20"/>
  <c r="T9" i="20"/>
  <c r="S9" i="20"/>
  <c r="R9" i="20"/>
  <c r="V8" i="20"/>
  <c r="U8" i="20"/>
  <c r="T8" i="20"/>
  <c r="S8" i="20"/>
  <c r="R8" i="20"/>
  <c r="O9" i="20"/>
  <c r="N9" i="20"/>
  <c r="M9" i="20"/>
  <c r="L9" i="20"/>
  <c r="K9" i="20"/>
  <c r="O8" i="20"/>
  <c r="N8" i="20"/>
  <c r="M8" i="20"/>
  <c r="L8" i="20"/>
  <c r="K8" i="20"/>
  <c r="H9" i="20"/>
  <c r="G9" i="20"/>
  <c r="F9" i="20"/>
  <c r="E9" i="20"/>
  <c r="D9" i="20"/>
  <c r="H8" i="20"/>
  <c r="G8" i="20"/>
  <c r="F8" i="20"/>
  <c r="E8" i="20"/>
  <c r="D8" i="20"/>
  <c r="V9" i="19"/>
  <c r="U9" i="19"/>
  <c r="T9" i="19"/>
  <c r="S9" i="19"/>
  <c r="R9" i="19"/>
  <c r="V8" i="19"/>
  <c r="U8" i="19"/>
  <c r="T8" i="19"/>
  <c r="S8" i="19"/>
  <c r="R8" i="19"/>
  <c r="O9" i="19"/>
  <c r="N9" i="19"/>
  <c r="M9" i="19"/>
  <c r="L9" i="19"/>
  <c r="K9" i="19"/>
  <c r="O8" i="19"/>
  <c r="N8" i="19"/>
  <c r="M8" i="19"/>
  <c r="L8" i="19"/>
  <c r="K8" i="19"/>
  <c r="H9" i="19"/>
  <c r="G9" i="19"/>
  <c r="F9" i="19"/>
  <c r="E9" i="19"/>
  <c r="D9" i="19"/>
  <c r="H8" i="19"/>
  <c r="G8" i="19"/>
  <c r="F8" i="19"/>
  <c r="E8" i="19"/>
  <c r="D8" i="19"/>
  <c r="D7" i="7"/>
  <c r="D8" i="8"/>
  <c r="D9" i="8"/>
  <c r="D7" i="8"/>
  <c r="F8" i="6"/>
  <c r="F7" i="6"/>
  <c r="D7" i="2"/>
  <c r="F23" i="5" l="1"/>
  <c r="G23" i="5"/>
  <c r="H23" i="5"/>
  <c r="E23" i="5" l="1"/>
  <c r="F20" i="5"/>
  <c r="G20" i="5"/>
  <c r="H20" i="5"/>
  <c r="E20" i="5"/>
  <c r="F12" i="17"/>
  <c r="F25" i="17" s="1"/>
  <c r="H12" i="17"/>
  <c r="H25" i="17" s="1"/>
  <c r="J12" i="17" l="1"/>
  <c r="J60" i="17"/>
  <c r="J53" i="17"/>
  <c r="J52" i="17"/>
  <c r="J32" i="17" l="1"/>
  <c r="J15" i="17" l="1"/>
  <c r="J16" i="17"/>
  <c r="J17" i="17"/>
  <c r="H8" i="16"/>
  <c r="E12" i="5" l="1"/>
  <c r="J11" i="17"/>
  <c r="E17" i="5" l="1"/>
  <c r="F76" i="5"/>
  <c r="F8" i="17"/>
  <c r="F12" i="5" s="1"/>
  <c r="F17" i="5" l="1"/>
  <c r="I64" i="17"/>
  <c r="G8" i="17"/>
  <c r="G12" i="5" s="1"/>
  <c r="H8" i="17" l="1"/>
  <c r="H12" i="5" s="1"/>
  <c r="I56" i="17"/>
  <c r="I52" i="17" l="1"/>
  <c r="I53" i="17"/>
  <c r="F45" i="5"/>
  <c r="G45" i="5"/>
  <c r="H45" i="5"/>
  <c r="E45" i="5"/>
  <c r="F36" i="5"/>
  <c r="G36" i="5"/>
  <c r="H36" i="5"/>
  <c r="E36" i="5"/>
  <c r="I51" i="17" l="1"/>
  <c r="I55" i="17" s="1"/>
  <c r="I54" i="17" l="1"/>
  <c r="F52" i="5"/>
  <c r="G52" i="5"/>
  <c r="H52" i="5"/>
  <c r="E52" i="5"/>
  <c r="D5" i="5" l="1"/>
  <c r="D83" i="5" s="1"/>
  <c r="F86" i="5" s="1"/>
  <c r="D4" i="5"/>
  <c r="F75" i="5" s="1"/>
  <c r="H86" i="5" l="1"/>
  <c r="G86" i="5"/>
  <c r="J51" i="17"/>
  <c r="J44" i="17"/>
  <c r="J45" i="17" l="1"/>
  <c r="I57" i="17" l="1"/>
  <c r="I63" i="17" s="1"/>
  <c r="I62" i="17"/>
  <c r="J41" i="17" l="1"/>
  <c r="F42" i="17"/>
  <c r="G42" i="17"/>
  <c r="H42" i="17"/>
  <c r="E42" i="17"/>
  <c r="J34" i="17"/>
  <c r="F40" i="17"/>
  <c r="F48" i="17" s="1"/>
  <c r="G40" i="17"/>
  <c r="G48" i="17" s="1"/>
  <c r="H40" i="17"/>
  <c r="E40" i="17"/>
  <c r="J26" i="17"/>
  <c r="J13" i="17"/>
  <c r="J19" i="17"/>
  <c r="J18" i="17"/>
  <c r="K48" i="17" l="1"/>
  <c r="H48" i="17"/>
  <c r="J42" i="17"/>
  <c r="J40" i="17"/>
  <c r="J14" i="17" l="1"/>
  <c r="J48" i="17" l="1"/>
  <c r="J25" i="17"/>
  <c r="I8" i="17" l="1"/>
  <c r="I58" i="17" l="1"/>
  <c r="I61" i="17" l="1"/>
  <c r="I59" i="17"/>
  <c r="I10" i="16" l="1"/>
  <c r="D40" i="16" l="1"/>
  <c r="D36" i="16"/>
  <c r="D37" i="16"/>
  <c r="D38" i="16"/>
  <c r="D33" i="16"/>
  <c r="D41" i="16"/>
  <c r="D39" i="16"/>
  <c r="D34" i="16"/>
  <c r="D42" i="16"/>
  <c r="D35" i="16"/>
  <c r="D43" i="16"/>
  <c r="I9" i="16"/>
  <c r="J7" i="16" l="1"/>
  <c r="J8" i="16" l="1"/>
  <c r="D24" i="16"/>
  <c r="D32" i="16"/>
  <c r="D23" i="16"/>
  <c r="D25" i="16"/>
  <c r="D28" i="16"/>
  <c r="D29" i="16"/>
  <c r="D31" i="16"/>
  <c r="D26" i="16"/>
  <c r="D27" i="16"/>
  <c r="D21" i="16"/>
  <c r="D22" i="16"/>
  <c r="D30" i="16"/>
  <c r="J9" i="16" l="1"/>
  <c r="J10" i="16"/>
  <c r="K7" i="16"/>
  <c r="D15" i="16" l="1"/>
  <c r="D11" i="16"/>
  <c r="D12" i="16"/>
  <c r="D9" i="16"/>
  <c r="D17" i="16"/>
  <c r="D14" i="16"/>
  <c r="D19" i="16"/>
  <c r="D10" i="16"/>
  <c r="D18" i="16"/>
  <c r="D16" i="16"/>
  <c r="D20" i="16"/>
  <c r="D13" i="16"/>
  <c r="K8" i="16"/>
  <c r="K10" i="16" s="1"/>
  <c r="L7" i="16" l="1"/>
  <c r="L8" i="16" s="1"/>
  <c r="L10" i="16" s="1"/>
  <c r="K9" i="16"/>
  <c r="L9" i="16" l="1"/>
  <c r="G11" i="5"/>
  <c r="H76" i="5" s="1"/>
  <c r="G54" i="17"/>
  <c r="H54" i="17"/>
  <c r="F54" i="17"/>
  <c r="F63" i="17" l="1"/>
  <c r="H58" i="17"/>
  <c r="H59" i="17" s="1"/>
  <c r="H75" i="5"/>
  <c r="G17" i="5"/>
  <c r="H11" i="5"/>
  <c r="G63" i="17"/>
  <c r="G62" i="17"/>
  <c r="G58" i="17"/>
  <c r="G59" i="17" s="1"/>
  <c r="H63" i="17"/>
  <c r="F62" i="17"/>
  <c r="F61" i="17" s="1"/>
  <c r="J54" i="17"/>
  <c r="F58" i="17"/>
  <c r="F59" i="17" s="1"/>
  <c r="K59" i="17" s="1"/>
  <c r="H62" i="17"/>
  <c r="H17" i="5" l="1"/>
  <c r="J62" i="17"/>
  <c r="H61" i="17"/>
  <c r="J59" i="17"/>
  <c r="J63" i="17"/>
  <c r="G61" i="17"/>
  <c r="K61" i="17" s="1"/>
  <c r="J58" i="17"/>
  <c r="J61" i="17" l="1"/>
  <c r="G4" i="17" l="1"/>
  <c r="E65" i="17"/>
  <c r="F65" i="17" s="1"/>
  <c r="J77" i="17"/>
  <c r="E87" i="5" l="1"/>
  <c r="E78" i="17"/>
  <c r="E81" i="17" s="1"/>
  <c r="F78" i="17"/>
  <c r="G65" i="17"/>
  <c r="F87" i="5"/>
  <c r="I77" i="17"/>
  <c r="I80" i="17" s="1"/>
  <c r="J80" i="17"/>
  <c r="H78" i="17"/>
  <c r="D6" i="5"/>
  <c r="I78" i="17"/>
  <c r="I81" i="17" s="1"/>
  <c r="E85" i="5" l="1"/>
  <c r="E62" i="5" s="1"/>
  <c r="F73" i="5"/>
  <c r="E67" i="17"/>
  <c r="E70" i="17" s="1"/>
  <c r="H65" i="17"/>
  <c r="H87" i="5" s="1"/>
  <c r="G87" i="5"/>
  <c r="G68" i="17"/>
  <c r="H81" i="17"/>
  <c r="G81" i="17"/>
  <c r="H80" i="17"/>
  <c r="E60" i="5" l="1"/>
  <c r="K82" i="17"/>
  <c r="H68" i="17"/>
  <c r="G69" i="17"/>
  <c r="G67" i="17" s="1"/>
  <c r="G70" i="17" s="1"/>
  <c r="E58" i="5" l="1"/>
  <c r="F72" i="17"/>
  <c r="K72" i="17" s="1"/>
  <c r="I68" i="17"/>
  <c r="I65" i="17"/>
  <c r="I69" i="17" s="1"/>
  <c r="H69" i="17"/>
  <c r="H67" i="17" s="1"/>
  <c r="H70" i="17" s="1"/>
  <c r="K70" i="17" s="1"/>
  <c r="J68" i="17"/>
  <c r="F33" i="5" l="1"/>
  <c r="F60" i="5"/>
  <c r="G72" i="17"/>
  <c r="J69" i="17"/>
  <c r="H72" i="17"/>
  <c r="J70" i="17"/>
  <c r="E33" i="5"/>
  <c r="J67" i="17"/>
  <c r="I67" i="17"/>
  <c r="I70" i="17" s="1"/>
  <c r="H33" i="5" l="1"/>
  <c r="H54" i="5" s="1"/>
  <c r="H59" i="5" s="1"/>
  <c r="H60" i="5"/>
  <c r="G33" i="5"/>
  <c r="G54" i="5" s="1"/>
  <c r="G59" i="5" s="1"/>
  <c r="G60" i="5"/>
  <c r="J72" i="17"/>
  <c r="D11" i="8" l="1"/>
  <c r="D12" i="8"/>
  <c r="D15" i="8" l="1"/>
  <c r="D16" i="8"/>
  <c r="D19" i="8" l="1"/>
  <c r="D20" i="8"/>
  <c r="E47" i="5" l="1"/>
  <c r="E54" i="5" s="1"/>
  <c r="E59" i="5" s="1"/>
  <c r="E63" i="5" l="1"/>
  <c r="E67" i="5" l="1"/>
  <c r="E68" i="5" s="1"/>
  <c r="F81" i="5"/>
  <c r="F57" i="5" l="1"/>
  <c r="F74" i="5" l="1"/>
  <c r="F77" i="5" s="1"/>
  <c r="F79" i="5" s="1"/>
  <c r="F80" i="5" l="1"/>
  <c r="F84" i="5"/>
  <c r="F85" i="5" s="1"/>
  <c r="F82" i="5"/>
  <c r="F88" i="5" l="1"/>
  <c r="G73" i="5"/>
  <c r="F61" i="5"/>
  <c r="J101" i="9" l="1"/>
  <c r="D11" i="21" s="1"/>
  <c r="J90" i="9"/>
  <c r="N18" i="12" s="1"/>
  <c r="J88" i="9"/>
  <c r="O16" i="12" s="1"/>
  <c r="J75" i="9"/>
  <c r="D16" i="12" s="1"/>
  <c r="J35" i="9"/>
  <c r="T11" i="19" s="1"/>
  <c r="J45" i="9"/>
  <c r="F11" i="20" s="1"/>
  <c r="J98" i="9"/>
  <c r="E12" i="14" s="1"/>
  <c r="J70" i="9"/>
  <c r="T12" i="20" s="1"/>
  <c r="J30" i="9"/>
  <c r="M12" i="19" s="1"/>
  <c r="J40" i="9"/>
  <c r="T12" i="19" s="1"/>
  <c r="J12" i="9"/>
  <c r="D9" i="7" s="1"/>
  <c r="J82" i="9"/>
  <c r="I17" i="12" s="1"/>
  <c r="J27" i="9"/>
  <c r="O11" i="19" s="1"/>
  <c r="J33" i="9"/>
  <c r="R11" i="19" s="1"/>
  <c r="J8" i="9"/>
  <c r="F11" i="6" s="1"/>
  <c r="J16" i="9"/>
  <c r="G11" i="19" s="1"/>
  <c r="J18" i="9"/>
  <c r="D12" i="19" s="1"/>
  <c r="J104" i="9"/>
  <c r="G11" i="15" s="1"/>
  <c r="J44" i="9"/>
  <c r="E11" i="20" s="1"/>
  <c r="J53" i="9"/>
  <c r="K11" i="20" s="1"/>
  <c r="J89" i="9"/>
  <c r="M18" i="12" s="1"/>
  <c r="J81" i="9"/>
  <c r="I14" i="12" s="1"/>
  <c r="J39" i="9"/>
  <c r="S12" i="19" s="1"/>
  <c r="J64" i="9"/>
  <c r="S11" i="20" s="1"/>
  <c r="J77" i="9"/>
  <c r="F17" i="12" s="1"/>
  <c r="J25" i="9"/>
  <c r="M11" i="19" s="1"/>
  <c r="J97" i="9"/>
  <c r="E11" i="14" s="1"/>
  <c r="J7" i="9"/>
  <c r="F10" i="6" s="1"/>
  <c r="J24" i="9"/>
  <c r="L11" i="19" s="1"/>
  <c r="J26" i="9"/>
  <c r="N11" i="19" s="1"/>
  <c r="J102" i="9"/>
  <c r="D11" i="15" s="1"/>
  <c r="J52" i="9"/>
  <c r="H12" i="20" s="1"/>
  <c r="J69" i="9"/>
  <c r="S12" i="20" s="1"/>
  <c r="J21" i="9"/>
  <c r="G12" i="19" s="1"/>
  <c r="J76" i="9"/>
  <c r="F16" i="12" s="1"/>
  <c r="J63" i="9"/>
  <c r="R11" i="20" s="1"/>
  <c r="J15" i="9"/>
  <c r="F11" i="19" s="1"/>
  <c r="J31" i="9"/>
  <c r="N12" i="19" s="1"/>
  <c r="J87" i="9"/>
  <c r="N16" i="12" s="1"/>
  <c r="J67" i="9"/>
  <c r="V11" i="20" s="1"/>
  <c r="J62" i="9"/>
  <c r="O12" i="20" s="1"/>
  <c r="J6" i="9"/>
  <c r="D9" i="2" s="1"/>
  <c r="J32" i="9"/>
  <c r="O12" i="19" s="1"/>
  <c r="J34" i="9"/>
  <c r="S11" i="19" s="1"/>
  <c r="J92" i="9"/>
  <c r="D14" i="13" s="1"/>
  <c r="J60" i="9"/>
  <c r="M12" i="20" s="1"/>
  <c r="J96" i="9"/>
  <c r="E19" i="13" s="1"/>
  <c r="J29" i="9"/>
  <c r="L12" i="19" s="1"/>
  <c r="J105" i="9"/>
  <c r="G12" i="15" s="1"/>
  <c r="J71" i="9"/>
  <c r="U12" i="20" s="1"/>
  <c r="J48" i="9"/>
  <c r="D12" i="20" s="1"/>
  <c r="J17" i="9"/>
  <c r="H11" i="19" s="1"/>
  <c r="J57" i="9"/>
  <c r="O11" i="20" s="1"/>
  <c r="J99" i="9"/>
  <c r="E13" i="14" s="1"/>
  <c r="J65" i="9"/>
  <c r="T11" i="20" s="1"/>
  <c r="J56" i="9"/>
  <c r="N11" i="20" s="1"/>
  <c r="J47" i="9"/>
  <c r="H11" i="20" s="1"/>
  <c r="J41" i="9"/>
  <c r="U12" i="19" s="1"/>
  <c r="J43" i="9"/>
  <c r="D11" i="20" s="1"/>
  <c r="J83" i="9"/>
  <c r="M14" i="12" s="1"/>
  <c r="J68" i="9"/>
  <c r="R12" i="20" s="1"/>
  <c r="J95" i="9"/>
  <c r="E18" i="13" s="1"/>
  <c r="J37" i="9"/>
  <c r="V11" i="19" s="1"/>
  <c r="J93" i="9"/>
  <c r="E16" i="13" s="1"/>
  <c r="J73" i="9"/>
  <c r="D14" i="12" s="1"/>
  <c r="J66" i="9"/>
  <c r="U11" i="20" s="1"/>
  <c r="J49" i="9"/>
  <c r="E12" i="20" s="1"/>
  <c r="J80" i="9"/>
  <c r="F19" i="12" s="1"/>
  <c r="J61" i="9"/>
  <c r="N12" i="20" s="1"/>
  <c r="J55" i="9"/>
  <c r="M11" i="20" s="1"/>
  <c r="J79" i="9"/>
  <c r="F18" i="12" s="1"/>
  <c r="J94" i="9"/>
  <c r="E17" i="13" s="1"/>
  <c r="J51" i="9"/>
  <c r="G12" i="20" s="1"/>
  <c r="J91" i="9"/>
  <c r="O18" i="12" s="1"/>
  <c r="J78" i="9"/>
  <c r="D18" i="12" s="1"/>
  <c r="J20" i="9"/>
  <c r="F12" i="19" s="1"/>
  <c r="J46" i="9"/>
  <c r="G11" i="20" s="1"/>
  <c r="J84" i="9"/>
  <c r="N14" i="12" s="1"/>
  <c r="J13" i="9"/>
  <c r="D11" i="19" s="1"/>
  <c r="J74" i="9"/>
  <c r="E14" i="12" s="1"/>
  <c r="J72" i="9"/>
  <c r="V12" i="20" s="1"/>
  <c r="J11" i="9"/>
  <c r="D13" i="8" s="1"/>
  <c r="J28" i="9"/>
  <c r="K12" i="19" s="1"/>
  <c r="J50" i="9"/>
  <c r="F12" i="20" s="1"/>
  <c r="J100" i="9"/>
  <c r="D10" i="21" s="1"/>
  <c r="J103" i="9"/>
  <c r="D12" i="15" s="1"/>
  <c r="J85" i="9"/>
  <c r="O14" i="12" s="1"/>
  <c r="J59" i="9"/>
  <c r="L12" i="20" s="1"/>
  <c r="J19" i="9"/>
  <c r="E12" i="19" s="1"/>
  <c r="J86" i="9"/>
  <c r="M16" i="12" s="1"/>
  <c r="J36" i="9"/>
  <c r="U11" i="19" s="1"/>
  <c r="J54" i="9"/>
  <c r="L11" i="20" s="1"/>
  <c r="J14" i="9"/>
  <c r="E11" i="19" s="1"/>
  <c r="J38" i="9"/>
  <c r="R12" i="19" s="1"/>
  <c r="J42" i="9"/>
  <c r="V12" i="19" s="1"/>
  <c r="J23" i="9"/>
  <c r="K11" i="19" s="1"/>
  <c r="J58" i="9"/>
  <c r="K12" i="20" s="1"/>
  <c r="J22" i="9"/>
  <c r="H12" i="19" s="1"/>
  <c r="F25" i="5" l="1"/>
  <c r="F54" i="5" s="1"/>
  <c r="F59" i="5" l="1"/>
  <c r="F63" i="5" s="1"/>
  <c r="G81" i="5" s="1"/>
  <c r="F67" i="5" l="1"/>
  <c r="F68" i="5" l="1"/>
  <c r="G57" i="5" s="1"/>
  <c r="G74" i="5" s="1"/>
  <c r="G77" i="5" s="1"/>
  <c r="G79" i="5" s="1"/>
  <c r="G84" i="5" l="1"/>
  <c r="G80" i="5"/>
  <c r="G82" i="5" l="1"/>
  <c r="G88" i="5"/>
  <c r="G85" i="5"/>
  <c r="K7" i="9" l="1"/>
  <c r="K6" i="9"/>
  <c r="D11" i="2" s="1"/>
  <c r="G62" i="5"/>
  <c r="H73" i="5"/>
  <c r="G61" i="5"/>
  <c r="E47" i="18"/>
  <c r="K67" i="9"/>
  <c r="V14" i="20" s="1"/>
  <c r="K45" i="9"/>
  <c r="F14" i="20" s="1"/>
  <c r="K87" i="9"/>
  <c r="N23" i="12" s="1"/>
  <c r="K47" i="9"/>
  <c r="H14" i="20" s="1"/>
  <c r="K21" i="9"/>
  <c r="G15" i="19" s="1"/>
  <c r="K66" i="9"/>
  <c r="U14" i="20" s="1"/>
  <c r="K65" i="9"/>
  <c r="T14" i="20" s="1"/>
  <c r="D14" i="21"/>
  <c r="K39" i="9"/>
  <c r="S15" i="19" s="1"/>
  <c r="K29" i="9"/>
  <c r="L15" i="19" s="1"/>
  <c r="K58" i="9"/>
  <c r="K15" i="20" s="1"/>
  <c r="K27" i="9"/>
  <c r="O14" i="19" s="1"/>
  <c r="K18" i="9"/>
  <c r="D15" i="19" s="1"/>
  <c r="K46" i="9"/>
  <c r="G14" i="20" s="1"/>
  <c r="K60" i="9"/>
  <c r="M15" i="20" s="1"/>
  <c r="D13" i="21"/>
  <c r="K14" i="9"/>
  <c r="E14" i="19" s="1"/>
  <c r="K103" i="9"/>
  <c r="D16" i="15" s="1"/>
  <c r="K62" i="9"/>
  <c r="O15" i="20" s="1"/>
  <c r="K30" i="9"/>
  <c r="M15" i="19" s="1"/>
  <c r="K55" i="9"/>
  <c r="M14" i="20" s="1"/>
  <c r="K73" i="9"/>
  <c r="D21" i="12" s="1"/>
  <c r="K82" i="9"/>
  <c r="I24" i="12" s="1"/>
  <c r="K70" i="9"/>
  <c r="T15" i="20" s="1"/>
  <c r="K42" i="9"/>
  <c r="V15" i="19" s="1"/>
  <c r="K12" i="9"/>
  <c r="D11" i="7" s="1"/>
  <c r="K91" i="9"/>
  <c r="O25" i="12" s="1"/>
  <c r="K48" i="9"/>
  <c r="D15" i="20" s="1"/>
  <c r="K59" i="9"/>
  <c r="L15" i="20" s="1"/>
  <c r="K44" i="9"/>
  <c r="E14" i="20" s="1"/>
  <c r="K97" i="9"/>
  <c r="E15" i="14" s="1"/>
  <c r="K79" i="9"/>
  <c r="F25" i="12" s="1"/>
  <c r="K17" i="9"/>
  <c r="H14" i="19" s="1"/>
  <c r="K85" i="9"/>
  <c r="O21" i="12" s="1"/>
  <c r="K98" i="9"/>
  <c r="E16" i="14" s="1"/>
  <c r="K32" i="9"/>
  <c r="O15" i="19" s="1"/>
  <c r="K23" i="9"/>
  <c r="K14" i="19" s="1"/>
  <c r="K104" i="9"/>
  <c r="G15" i="15" s="1"/>
  <c r="K75" i="9"/>
  <c r="D23" i="12" s="1"/>
  <c r="K93" i="9"/>
  <c r="E23" i="13" s="1"/>
  <c r="K26" i="9"/>
  <c r="N14" i="19" s="1"/>
  <c r="F13" i="6"/>
  <c r="K69" i="9"/>
  <c r="S15" i="20" s="1"/>
  <c r="K11" i="9"/>
  <c r="D17" i="8" s="1"/>
  <c r="K96" i="9"/>
  <c r="E26" i="13" s="1"/>
  <c r="K8" i="9"/>
  <c r="F14" i="6" s="1"/>
  <c r="K74" i="9"/>
  <c r="E21" i="12" s="1"/>
  <c r="K51" i="9"/>
  <c r="G15" i="20" s="1"/>
  <c r="K90" i="9"/>
  <c r="N25" i="12" s="1"/>
  <c r="K81" i="9"/>
  <c r="I21" i="12" s="1"/>
  <c r="K33" i="9"/>
  <c r="R14" i="19" s="1"/>
  <c r="K95" i="9"/>
  <c r="E25" i="13" s="1"/>
  <c r="K31" i="9"/>
  <c r="N15" i="19" s="1"/>
  <c r="K77" i="9"/>
  <c r="F24" i="12" s="1"/>
  <c r="K49" i="9"/>
  <c r="E15" i="20" s="1"/>
  <c r="K20" i="9"/>
  <c r="F15" i="19" s="1"/>
  <c r="K76" i="9"/>
  <c r="F23" i="12" s="1"/>
  <c r="K86" i="9"/>
  <c r="M23" i="12" s="1"/>
  <c r="K43" i="9"/>
  <c r="D14" i="20" s="1"/>
  <c r="K99" i="9"/>
  <c r="E17" i="14" s="1"/>
  <c r="K53" i="9"/>
  <c r="K14" i="20" s="1"/>
  <c r="K37" i="9"/>
  <c r="V14" i="19" s="1"/>
  <c r="K41" i="9"/>
  <c r="U15" i="19" s="1"/>
  <c r="K16" i="9"/>
  <c r="G14" i="19" s="1"/>
  <c r="K28" i="9"/>
  <c r="K15" i="19" s="1"/>
  <c r="K50" i="9"/>
  <c r="F15" i="20" s="1"/>
  <c r="K19" i="9"/>
  <c r="E15" i="19" s="1"/>
  <c r="K22" i="9"/>
  <c r="H15" i="19" s="1"/>
  <c r="K52" i="9"/>
  <c r="H15" i="20" s="1"/>
  <c r="K35" i="9"/>
  <c r="T14" i="19" s="1"/>
  <c r="K57" i="9"/>
  <c r="O14" i="20" s="1"/>
  <c r="K72" i="9"/>
  <c r="V15" i="20" s="1"/>
  <c r="K88" i="9"/>
  <c r="O23" i="12" s="1"/>
  <c r="K38" i="9"/>
  <c r="R15" i="19" s="1"/>
  <c r="K13" i="9"/>
  <c r="D14" i="19" s="1"/>
  <c r="K83" i="9"/>
  <c r="M21" i="12" s="1"/>
  <c r="K15" i="9"/>
  <c r="F14" i="19" s="1"/>
  <c r="K105" i="9"/>
  <c r="G16" i="15" s="1"/>
  <c r="K24" i="9"/>
  <c r="L14" i="19" s="1"/>
  <c r="K25" i="9"/>
  <c r="M14" i="19" s="1"/>
  <c r="K71" i="9"/>
  <c r="U15" i="20" s="1"/>
  <c r="K80" i="9"/>
  <c r="F26" i="12" s="1"/>
  <c r="K94" i="9"/>
  <c r="E24" i="13" s="1"/>
  <c r="K61" i="9"/>
  <c r="N15" i="20" s="1"/>
  <c r="K84" i="9"/>
  <c r="N21" i="12" s="1"/>
  <c r="K34" i="9"/>
  <c r="S14" i="19" s="1"/>
  <c r="K92" i="9"/>
  <c r="D21" i="13" s="1"/>
  <c r="K89" i="9"/>
  <c r="M25" i="12" s="1"/>
  <c r="K78" i="9"/>
  <c r="D25" i="12" s="1"/>
  <c r="K63" i="9"/>
  <c r="R14" i="20" s="1"/>
  <c r="K40" i="9"/>
  <c r="T15" i="19" s="1"/>
  <c r="K36" i="9"/>
  <c r="U14" i="19" s="1"/>
  <c r="K102" i="9"/>
  <c r="D15" i="15" s="1"/>
  <c r="K64" i="9"/>
  <c r="S14" i="20" s="1"/>
  <c r="K68" i="9"/>
  <c r="R15" i="20" s="1"/>
  <c r="K56" i="9"/>
  <c r="N14" i="20" s="1"/>
  <c r="K54" i="9"/>
  <c r="L14" i="20" s="1"/>
  <c r="G63" i="5" l="1"/>
  <c r="H81" i="5" s="1"/>
  <c r="G58" i="5"/>
  <c r="G67" i="5" s="1"/>
  <c r="G68" i="5" l="1"/>
  <c r="H57" i="5" s="1"/>
  <c r="H74" i="5" l="1"/>
  <c r="H77" i="5" s="1"/>
  <c r="H79" i="5" l="1"/>
  <c r="H84" i="5" s="1"/>
  <c r="H80" i="5"/>
  <c r="H85" i="5" l="1"/>
  <c r="H88" i="5"/>
  <c r="H82" i="5"/>
  <c r="L71" i="9" l="1"/>
  <c r="U18" i="20" s="1"/>
  <c r="L46" i="9"/>
  <c r="G17" i="20" s="1"/>
  <c r="L42" i="9"/>
  <c r="V18" i="19" s="1"/>
  <c r="L44" i="9"/>
  <c r="E17" i="20" s="1"/>
  <c r="L100" i="9"/>
  <c r="D16" i="21" s="1"/>
  <c r="L51" i="9"/>
  <c r="G18" i="20" s="1"/>
  <c r="L41" i="9"/>
  <c r="U18" i="19" s="1"/>
  <c r="L97" i="9"/>
  <c r="E19" i="14" s="1"/>
  <c r="L90" i="9"/>
  <c r="N32" i="12" s="1"/>
  <c r="L43" i="9"/>
  <c r="D17" i="20" s="1"/>
  <c r="L86" i="9"/>
  <c r="M30" i="12" s="1"/>
  <c r="L26" i="9"/>
  <c r="N17" i="19" s="1"/>
  <c r="L79" i="9"/>
  <c r="F32" i="12" s="1"/>
  <c r="L66" i="9"/>
  <c r="U17" i="20" s="1"/>
  <c r="L22" i="9"/>
  <c r="H18" i="19" s="1"/>
  <c r="L11" i="9"/>
  <c r="D21" i="8" s="1"/>
  <c r="L75" i="9"/>
  <c r="D30" i="12" s="1"/>
  <c r="L85" i="9"/>
  <c r="O28" i="12" s="1"/>
  <c r="L92" i="9"/>
  <c r="D28" i="13" s="1"/>
  <c r="L105" i="9"/>
  <c r="G20" i="15" s="1"/>
  <c r="L45" i="9"/>
  <c r="F17" i="20" s="1"/>
  <c r="L19" i="9"/>
  <c r="E18" i="19" s="1"/>
  <c r="L55" i="9"/>
  <c r="M17" i="20" s="1"/>
  <c r="L102" i="9"/>
  <c r="D19" i="15" s="1"/>
  <c r="L31" i="9"/>
  <c r="N18" i="19" s="1"/>
  <c r="L7" i="9"/>
  <c r="F16" i="6" s="1"/>
  <c r="L104" i="9"/>
  <c r="G19" i="15" s="1"/>
  <c r="L103" i="9"/>
  <c r="D20" i="15" s="1"/>
  <c r="L95" i="9"/>
  <c r="E32" i="13" s="1"/>
  <c r="L33" i="9"/>
  <c r="R17" i="19" s="1"/>
  <c r="L17" i="9"/>
  <c r="H17" i="19" s="1"/>
  <c r="L91" i="9"/>
  <c r="O32" i="12" s="1"/>
  <c r="L21" i="9"/>
  <c r="G18" i="19" s="1"/>
  <c r="L68" i="9"/>
  <c r="R18" i="20" s="1"/>
  <c r="L77" i="9"/>
  <c r="F31" i="12" s="1"/>
  <c r="L88" i="9"/>
  <c r="O30" i="12" s="1"/>
  <c r="L80" i="9"/>
  <c r="F33" i="12" s="1"/>
  <c r="L34" i="9"/>
  <c r="S17" i="19" s="1"/>
  <c r="L62" i="9"/>
  <c r="O18" i="20" s="1"/>
  <c r="L32" i="9"/>
  <c r="O18" i="19" s="1"/>
  <c r="L37" i="9"/>
  <c r="V17" i="19" s="1"/>
  <c r="L73" i="9"/>
  <c r="D28" i="12" s="1"/>
  <c r="L13" i="9"/>
  <c r="D17" i="19" s="1"/>
  <c r="L30" i="9"/>
  <c r="M18" i="19" s="1"/>
  <c r="L61" i="9"/>
  <c r="N18" i="20" s="1"/>
  <c r="L50" i="9"/>
  <c r="F18" i="20" s="1"/>
  <c r="L12" i="9"/>
  <c r="D13" i="7" s="1"/>
  <c r="L101" i="9"/>
  <c r="D17" i="21" s="1"/>
  <c r="L20" i="9"/>
  <c r="F18" i="19" s="1"/>
  <c r="L81" i="9"/>
  <c r="I28" i="12" s="1"/>
  <c r="L25" i="9"/>
  <c r="M17" i="19" s="1"/>
  <c r="L40" i="9"/>
  <c r="T18" i="19" s="1"/>
  <c r="L39" i="9"/>
  <c r="S18" i="19" s="1"/>
  <c r="L63" i="9"/>
  <c r="R17" i="20" s="1"/>
  <c r="L15" i="9"/>
  <c r="F17" i="19" s="1"/>
  <c r="L74" i="9"/>
  <c r="E28" i="12" s="1"/>
  <c r="L57" i="9"/>
  <c r="O17" i="20" s="1"/>
  <c r="L69" i="9"/>
  <c r="S18" i="20" s="1"/>
  <c r="L93" i="9"/>
  <c r="E30" i="13" s="1"/>
  <c r="L83" i="9"/>
  <c r="M28" i="12" s="1"/>
  <c r="L76" i="9"/>
  <c r="F30" i="12" s="1"/>
  <c r="L67" i="9"/>
  <c r="V17" i="20" s="1"/>
  <c r="L36" i="9"/>
  <c r="U17" i="19" s="1"/>
  <c r="L18" i="9"/>
  <c r="D18" i="19" s="1"/>
  <c r="L16" i="9"/>
  <c r="G17" i="19" s="1"/>
  <c r="L29" i="9"/>
  <c r="L18" i="19" s="1"/>
  <c r="L56" i="9"/>
  <c r="N17" i="20" s="1"/>
  <c r="L35" i="9"/>
  <c r="T17" i="19" s="1"/>
  <c r="L96" i="9"/>
  <c r="E33" i="13" s="1"/>
  <c r="L84" i="9"/>
  <c r="N28" i="12" s="1"/>
  <c r="L28" i="9"/>
  <c r="K18" i="19" s="1"/>
  <c r="L24" i="9"/>
  <c r="L17" i="19" s="1"/>
  <c r="L72" i="9"/>
  <c r="V18" i="20" s="1"/>
  <c r="L27" i="9"/>
  <c r="O17" i="19" s="1"/>
  <c r="L47" i="9"/>
  <c r="H17" i="20" s="1"/>
  <c r="L78" i="9"/>
  <c r="D32" i="12" s="1"/>
  <c r="L99" i="9"/>
  <c r="E21" i="14" s="1"/>
  <c r="L53" i="9"/>
  <c r="K17" i="20" s="1"/>
  <c r="L14" i="9"/>
  <c r="E17" i="19" s="1"/>
  <c r="L48" i="9"/>
  <c r="D18" i="20" s="1"/>
  <c r="L60" i="9"/>
  <c r="M18" i="20" s="1"/>
  <c r="L98" i="9"/>
  <c r="E20" i="14" s="1"/>
  <c r="L65" i="9"/>
  <c r="T17" i="20" s="1"/>
  <c r="L49" i="9"/>
  <c r="E18" i="20" s="1"/>
  <c r="L82" i="9"/>
  <c r="I31" i="12" s="1"/>
  <c r="L8" i="9"/>
  <c r="F17" i="6" s="1"/>
  <c r="L6" i="9"/>
  <c r="D13" i="2" s="1"/>
  <c r="L59" i="9"/>
  <c r="L18" i="20" s="1"/>
  <c r="L23" i="9"/>
  <c r="K17" i="19" s="1"/>
  <c r="L89" i="9"/>
  <c r="M32" i="12" s="1"/>
  <c r="L64" i="9"/>
  <c r="S17" i="20" s="1"/>
  <c r="L54" i="9"/>
  <c r="L17" i="20" s="1"/>
  <c r="L70" i="9"/>
  <c r="T18" i="20" s="1"/>
  <c r="L58" i="9"/>
  <c r="K18" i="20" s="1"/>
  <c r="L94" i="9"/>
  <c r="E31" i="13" s="1"/>
  <c r="L52" i="9"/>
  <c r="H18" i="20" s="1"/>
  <c r="L87" i="9"/>
  <c r="N30" i="12" s="1"/>
  <c r="L38" i="9"/>
  <c r="R18" i="19" s="1"/>
  <c r="F47" i="18"/>
  <c r="H62" i="5"/>
  <c r="H61" i="5"/>
  <c r="H63" i="5" l="1"/>
  <c r="H58" i="5"/>
  <c r="H67" i="5" s="1"/>
  <c r="H68" i="5" l="1"/>
  <c r="I5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tc={71D5094B-ADAE-4231-BA46-2B8FE73BB929}</author>
  </authors>
  <commentList>
    <comment ref="C22" authorId="0" shapeId="0" xr:uid="{71D5094B-ADAE-4231-BA46-2B8FE73BB92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2022, 100% au CRCP</t>
      </text>
    </comment>
  </commentList>
</comments>
</file>

<file path=xl/sharedStrings.xml><?xml version="1.0" encoding="utf-8"?>
<sst xmlns="http://schemas.openxmlformats.org/spreadsheetml/2006/main" count="946" uniqueCount="362">
  <si>
    <t>NE PAS MODIFIER LES CELLULES DANS CET ONGLET</t>
  </si>
  <si>
    <t>NOTICE</t>
  </si>
  <si>
    <t>Onglet</t>
  </si>
  <si>
    <t>Contenu / Fonction de l'onglet</t>
  </si>
  <si>
    <t>Equilibre prévisionnel</t>
  </si>
  <si>
    <t>NE PAS SAISIR DANS CET ONGLET</t>
  </si>
  <si>
    <t>IPC</t>
  </si>
  <si>
    <t>saisir données dans 
les cellules en vert</t>
  </si>
  <si>
    <t>Montants réalisés</t>
  </si>
  <si>
    <t>CRCP &amp; évolutions</t>
  </si>
  <si>
    <r>
      <t xml:space="preserve">NE PAS SAISIR DANS CET ONGLET, 
</t>
    </r>
    <r>
      <rPr>
        <b/>
        <sz val="10"/>
        <color rgb="FFC00000"/>
        <rFont val="Franklin Gothic Book"/>
        <family val="2"/>
      </rPr>
      <t>sauf choix de l'année (cellule E2)</t>
    </r>
  </si>
  <si>
    <t>Grille tarifaire</t>
  </si>
  <si>
    <r>
      <t xml:space="preserve">NE PAS SAISIR DANS CET ONGLET 
</t>
    </r>
    <r>
      <rPr>
        <b/>
        <sz val="10"/>
        <color rgb="FFC00000"/>
        <rFont val="Franklin Gothic Book"/>
        <family val="2"/>
      </rPr>
      <t/>
    </r>
  </si>
  <si>
    <t>CG</t>
  </si>
  <si>
    <r>
      <rPr>
        <b/>
        <sz val="11"/>
        <rFont val="Franklin Gothic Book"/>
        <family val="2"/>
      </rPr>
      <t>RESULTATS</t>
    </r>
    <r>
      <rPr>
        <sz val="11"/>
        <rFont val="Franklin Gothic Book"/>
        <family val="2"/>
      </rPr>
      <t xml:space="preserve"> : composante annuelle de gestion (CG)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</si>
  <si>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CC</t>
  </si>
  <si>
    <r>
      <rPr>
        <b/>
        <sz val="11"/>
        <rFont val="Franklin Gothic Book"/>
        <family val="2"/>
      </rPr>
      <t>RESULTATS</t>
    </r>
    <r>
      <rPr>
        <sz val="11"/>
        <rFont val="Franklin Gothic Book"/>
        <family val="2"/>
      </rPr>
      <t xml:space="preserve"> : composante annuelle de comptage (CC)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</si>
  <si>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CI</t>
  </si>
  <si>
    <r>
      <rPr>
        <b/>
        <sz val="11"/>
        <rFont val="Franklin Gothic Book"/>
        <family val="2"/>
      </rPr>
      <t>RESULTATS</t>
    </r>
    <r>
      <rPr>
        <sz val="11"/>
        <rFont val="Franklin Gothic Book"/>
        <family val="2"/>
      </rPr>
      <t xml:space="preserve"> : composante annuelle d'injections (CI)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</si>
  <si>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CS - HTB</t>
  </si>
  <si>
    <r>
      <rPr>
        <b/>
        <sz val="11"/>
        <rFont val="Franklin Gothic Book"/>
        <family val="2"/>
      </rPr>
      <t xml:space="preserve">RESULTATS : </t>
    </r>
    <r>
      <rPr>
        <sz val="11"/>
        <rFont val="Franklin Gothic Book"/>
        <family val="2"/>
      </rPr>
      <t xml:space="preserve"> composantes annuelles de soutirage (CS) pour les domaines de tension HTB 3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r>
  </si>
  <si>
    <t>CS et CMDPS - HTB 2</t>
  </si>
  <si>
    <r>
      <rPr>
        <b/>
        <sz val="11"/>
        <rFont val="Franklin Gothic Book"/>
        <family val="2"/>
      </rPr>
      <t>RESULTATS</t>
    </r>
    <r>
      <rPr>
        <sz val="11"/>
        <rFont val="Franklin Gothic Book"/>
        <family val="2"/>
      </rPr>
      <t xml:space="preserve"> :  composantes annuelles de soutirage (CS) et composantes mensuelles des dépassements de puissance souscrite (CMDPS) pour les domaines de tension HTB 2 du 1er août N au 31 juillet N+1</t>
    </r>
  </si>
  <si>
    <t>CS et CMDPS - HTB 1</t>
  </si>
  <si>
    <r>
      <rPr>
        <b/>
        <sz val="11"/>
        <rFont val="Franklin Gothic Book"/>
        <family val="2"/>
      </rPr>
      <t>RESULTATS</t>
    </r>
    <r>
      <rPr>
        <sz val="11"/>
        <rFont val="Franklin Gothic Book"/>
        <family val="2"/>
      </rPr>
      <t xml:space="preserve"> :  composantes annuelles de soutirage (CS) et composantes mensuelles des dépassements de puissance souscrite (CMDPS) pour les domaines de tension HTB 1 du 1er août N au 31 juillet N+1</t>
    </r>
  </si>
  <si>
    <t>CACS</t>
  </si>
  <si>
    <r>
      <rPr>
        <b/>
        <sz val="11"/>
        <rFont val="Franklin Gothic Book"/>
        <family val="2"/>
      </rPr>
      <t xml:space="preserve">RESULTATS : </t>
    </r>
    <r>
      <rPr>
        <sz val="11"/>
        <rFont val="Franklin Gothic Book"/>
        <family val="2"/>
      </rPr>
      <t xml:space="preserve"> composante annuelle des alimentations complémentaires et de secours (CACS)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r>
  </si>
  <si>
    <t>CR</t>
  </si>
  <si>
    <r>
      <rPr>
        <b/>
        <sz val="11"/>
        <rFont val="Franklin Gothic Book"/>
        <family val="2"/>
      </rPr>
      <t xml:space="preserve">RESULTATS : </t>
    </r>
    <r>
      <rPr>
        <sz val="11"/>
        <rFont val="Franklin Gothic Book"/>
        <family val="2"/>
      </rPr>
      <t xml:space="preserve"> composante annuelle de regroupement (CR)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</si>
  <si>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CT</t>
  </si>
  <si>
    <r>
      <rPr>
        <b/>
        <sz val="11"/>
        <rFont val="Franklin Gothic Book"/>
        <family val="2"/>
      </rPr>
      <t xml:space="preserve">RESULTATS : </t>
    </r>
    <r>
      <rPr>
        <sz val="11"/>
        <rFont val="Franklin Gothic Book"/>
        <family val="2"/>
      </rPr>
      <t xml:space="preserve"> composante annuelle d'utilisation des ouvrages de transformation (CT)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</si>
  <si>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CDPP</t>
  </si>
  <si>
    <r>
      <rPr>
        <b/>
        <sz val="11"/>
        <rFont val="Franklin Gothic Book"/>
        <family val="2"/>
      </rPr>
      <t xml:space="preserve">RESULTATS : </t>
    </r>
    <r>
      <rPr>
        <sz val="11"/>
        <rFont val="Franklin Gothic Book"/>
        <family val="2"/>
      </rPr>
      <t xml:space="preserve"> composante annuelle de dépassements ponctuels programmés (CDPP)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</si>
  <si>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CER</t>
  </si>
  <si>
    <r>
      <rPr>
        <b/>
        <sz val="11"/>
        <rFont val="Franklin Gothic Book"/>
        <family val="2"/>
      </rPr>
      <t xml:space="preserve">RESULTATS : </t>
    </r>
    <r>
      <rPr>
        <sz val="11"/>
        <rFont val="Franklin Gothic Book"/>
        <family val="2"/>
      </rPr>
      <t xml:space="preserve"> composante annuelle de l'énergie réactive (CER)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</si>
  <si>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Consignes</t>
  </si>
  <si>
    <t>Actions</t>
  </si>
  <si>
    <t>Cellules</t>
  </si>
  <si>
    <r>
      <t xml:space="preserve">CRCP au 31 décembre </t>
    </r>
    <r>
      <rPr>
        <b/>
        <i/>
        <sz val="11"/>
        <rFont val="Franklin Gothic Book"/>
        <family val="2"/>
      </rPr>
      <t>N-1</t>
    </r>
    <r>
      <rPr>
        <b/>
        <sz val="10"/>
        <rFont val="Arial"/>
        <family val="2"/>
      </rPr>
      <t/>
    </r>
  </si>
  <si>
    <r>
      <t xml:space="preserve">1. reporter la valeur de l'indice d'inflation INSEE 1763852 (base 100 en 2015) de l'ensemble des mois de l'année </t>
    </r>
    <r>
      <rPr>
        <i/>
        <sz val="11"/>
        <rFont val="Franklin Gothic Book"/>
        <family val="2"/>
      </rPr>
      <t>N-1</t>
    </r>
  </si>
  <si>
    <t>colonne D</t>
  </si>
  <si>
    <t>colonnes 
D à F</t>
  </si>
  <si>
    <r>
      <t xml:space="preserve">3. sélectionner l'année en cours </t>
    </r>
    <r>
      <rPr>
        <i/>
        <sz val="11"/>
        <rFont val="Franklin Gothic Book"/>
        <family val="2"/>
      </rPr>
      <t>N</t>
    </r>
    <r>
      <rPr>
        <sz val="11"/>
        <rFont val="Franklin Gothic Book"/>
        <family val="2"/>
      </rPr>
      <t xml:space="preserve"> dans la liste déroulante de la cellule jaune E2</t>
    </r>
  </si>
  <si>
    <t>cellule E2</t>
  </si>
  <si>
    <r>
      <t xml:space="preserve">4. relever les résultats : le solde du CRCP au 1er janvier de l'année </t>
    </r>
    <r>
      <rPr>
        <i/>
        <sz val="11"/>
        <rFont val="Franklin Gothic Book"/>
        <family val="2"/>
      </rPr>
      <t>N</t>
    </r>
    <r>
      <rPr>
        <sz val="11"/>
        <rFont val="Franklin Gothic Book"/>
        <family val="2"/>
      </rPr>
      <t xml:space="preserve">, le coefficient K de l'année </t>
    </r>
    <r>
      <rPr>
        <i/>
        <sz val="11"/>
        <rFont val="Franklin Gothic Book"/>
        <family val="2"/>
      </rPr>
      <t>N</t>
    </r>
    <r>
      <rPr>
        <sz val="11"/>
        <rFont val="Franklin Gothic Book"/>
        <family val="2"/>
      </rPr>
      <t xml:space="preserve"> au 1</t>
    </r>
    <r>
      <rPr>
        <vertAlign val="superscript"/>
        <sz val="11"/>
        <rFont val="Franklin Gothic Book"/>
        <family val="2"/>
      </rPr>
      <t>er</t>
    </r>
    <r>
      <rPr>
        <sz val="11"/>
        <rFont val="Franklin Gothic Book"/>
        <family val="2"/>
      </rPr>
      <t xml:space="preserve"> août </t>
    </r>
    <r>
      <rPr>
        <i/>
        <sz val="11"/>
        <rFont val="Franklin Gothic Book"/>
        <family val="2"/>
      </rPr>
      <t>N</t>
    </r>
  </si>
  <si>
    <t>lignes 44, 62</t>
  </si>
  <si>
    <t>colonnes 
J à L</t>
  </si>
  <si>
    <t>Taux sans risque (Rf)</t>
  </si>
  <si>
    <t>Facteur d'évolution annuel X</t>
  </si>
  <si>
    <t>INFLATION</t>
  </si>
  <si>
    <t xml:space="preserve">Inflation prévisionnelle de l'IPC entre l'année N-1 et l'année N </t>
  </si>
  <si>
    <t>POSTES DU REVENU AUTORISE PREVISIONNEL (en M€ courants)</t>
  </si>
  <si>
    <t>POSTES DE CHARGES</t>
  </si>
  <si>
    <t>Charges de capital totales</t>
  </si>
  <si>
    <t>Charges liées à la compensation des pertes</t>
  </si>
  <si>
    <t>Charges liées au dispositif d'interruptibilité</t>
  </si>
  <si>
    <t>Frais d'études sans suite liés à l'abandon de grands projets d'investissement lorsque celles-ci ont été approuvées par la CRE</t>
  </si>
  <si>
    <t xml:space="preserve">Montants retenus au titre du mécanisme de prise en compte des projets de déploiement industriel des réseaux électriques intelligents </t>
  </si>
  <si>
    <t>SOMME DES POSTES DE CHARGES DU REVENU AUTORISE PREVISIONNEL</t>
  </si>
  <si>
    <t>RECETTES</t>
  </si>
  <si>
    <t>Recettes d'interconnexion</t>
  </si>
  <si>
    <t>Solde éventuel restant sur les fonds pour le règlement du rééquilibrage en capacité des fournisseurs et le fonds pour le règlement des écarts des responsables de périmètre de certification</t>
  </si>
  <si>
    <t>SOMME DES POSTES DE RECETTES DU REVENU AUTORISE PREVISIONNEL</t>
  </si>
  <si>
    <t>INCITATIONS</t>
  </si>
  <si>
    <t>Incitations financières au développement des projets d'interconnexion</t>
  </si>
  <si>
    <t>Incitation à la maîtrise des dépenses d'investissement de projets de développement de réseaux</t>
  </si>
  <si>
    <t>Régulation incitative de la continuité d'alimentation</t>
  </si>
  <si>
    <t>SOMME DES INCITATIONS FINANCIERES DU REVENU AUTORISE PREVISIONNEL</t>
  </si>
  <si>
    <t>CRCP</t>
  </si>
  <si>
    <t>Régulation incitative des dépenses de recherche &amp; développement (R&amp;D)</t>
  </si>
  <si>
    <t xml:space="preserve">REVENU AUTORISE PREVISIONNEL TOTAL </t>
  </si>
  <si>
    <t>RECETTES TARIFAIRES PREVISIONNELLES (en M€ courants)</t>
  </si>
  <si>
    <t>dont recettes prévisionnelles du 1er janvier N au 31 juillet N</t>
  </si>
  <si>
    <t>dont recettes prévisionnelles du 1er août N au 31 décembre N</t>
  </si>
  <si>
    <t>dont abattement électro-intensifs</t>
  </si>
  <si>
    <t>dont recettes d'injection - part énergie</t>
  </si>
  <si>
    <t>RECETTES TARIFAIRES PREVISIONNELLES TOTALES (hors abattement électro-intensifs et hors recettes d'injection - part énergie)</t>
  </si>
  <si>
    <t>RECETTES TARIFAIRES PREVISIONNELLES TOTALES</t>
  </si>
  <si>
    <t xml:space="preserve">Ecart prévisionnel annuel entre les recettes prévisionnelles et le revenu autorisé prévisionnel </t>
  </si>
  <si>
    <t>Recettes prévisionnelles (hors recettes d'injection - part énergie)</t>
  </si>
  <si>
    <t>Recettes prévisionnelles</t>
  </si>
  <si>
    <t xml:space="preserve">Les cellules pré-remplies avec des valeurs en italique de couleur bleue sur fond vert sont à mettre à jour </t>
  </si>
  <si>
    <t xml:space="preserve">Les valeurs définitives sont en couleur noir </t>
  </si>
  <si>
    <t>Les valeurs issues d'un calcul sont sur fond violet</t>
  </si>
  <si>
    <t>Indice des prix à la consommation - Base 2015 - Ensemble des ménages - France - Ensemble hors tabac</t>
  </si>
  <si>
    <t>Inflation constatée</t>
  </si>
  <si>
    <t>001763852
équivalent de l'identifiant 641194 actualisé sur base 2015</t>
  </si>
  <si>
    <r>
      <t xml:space="preserve">Indice moyen année </t>
    </r>
    <r>
      <rPr>
        <i/>
        <sz val="10"/>
        <rFont val="Franklin Gothic Book"/>
        <family val="2"/>
      </rPr>
      <t>N</t>
    </r>
    <r>
      <rPr>
        <sz val="10"/>
        <rFont val="Franklin Gothic Book"/>
        <family val="2"/>
      </rPr>
      <t xml:space="preserve"> 
base 100 en 2015</t>
    </r>
  </si>
  <si>
    <t>Année</t>
  </si>
  <si>
    <t>Mois</t>
  </si>
  <si>
    <t>IPC hors tabac série mensuelle</t>
  </si>
  <si>
    <r>
      <t xml:space="preserve">Evolution de l'IPC entre l'année </t>
    </r>
    <r>
      <rPr>
        <i/>
        <sz val="10"/>
        <rFont val="Franklin Gothic Book"/>
        <family val="2"/>
      </rPr>
      <t>N-1</t>
    </r>
    <r>
      <rPr>
        <sz val="10"/>
        <rFont val="Franklin Gothic Book"/>
        <family val="2"/>
      </rPr>
      <t xml:space="preserve"> et l'année </t>
    </r>
    <r>
      <rPr>
        <i/>
        <sz val="10"/>
        <rFont val="Franklin Gothic Book"/>
        <family val="2"/>
      </rPr>
      <t>N</t>
    </r>
    <r>
      <rPr>
        <sz val="10"/>
        <rFont val="Franklin Gothic Book"/>
        <family val="2"/>
      </rPr>
      <t xml:space="preserve"> (%)</t>
    </r>
  </si>
  <si>
    <t>cumul entre 2015 et l'année N</t>
  </si>
  <si>
    <t>POSTES DU REVENU AUTORISE (montants réalisés en M€ courants)</t>
  </si>
  <si>
    <t>CHARGES</t>
  </si>
  <si>
    <t>Charges liées à la compensation des pertes (charges réalisées + incitations)</t>
  </si>
  <si>
    <t>dont incitations</t>
  </si>
  <si>
    <t>Indemnités versées par RTE aux GRD au titre des coupures longues</t>
  </si>
  <si>
    <t>RECETTES TARIFAIRES  PERCUES PAR RTE (en M€ courants)</t>
  </si>
  <si>
    <t>Recettes tarifaires perçues par RTE</t>
  </si>
  <si>
    <r>
      <rPr>
        <b/>
        <sz val="10"/>
        <color rgb="FFFF0000"/>
        <rFont val="Franklin Gothic Book"/>
        <family val="2"/>
      </rPr>
      <t>NE PAS MODIFIER LES CELLULES DANS CET ONGLET -</t>
    </r>
    <r>
      <rPr>
        <b/>
        <sz val="10"/>
        <color rgb="FFC00000"/>
        <rFont val="Franklin Gothic Book"/>
        <family val="2"/>
      </rPr>
      <t xml:space="preserve"> C</t>
    </r>
    <r>
      <rPr>
        <b/>
        <i/>
        <sz val="10"/>
        <color rgb="FFC00000"/>
        <rFont val="Franklin Gothic Book"/>
        <family val="2"/>
      </rPr>
      <t>hoisir l'année dans la cellule E2</t>
    </r>
  </si>
  <si>
    <r>
      <t xml:space="preserve">Calcul du CRCP au 1er janvier </t>
    </r>
    <r>
      <rPr>
        <b/>
        <i/>
        <sz val="12"/>
        <color rgb="FFFFFFFF"/>
        <rFont val="Franklin Gothic Book"/>
        <family val="2"/>
      </rPr>
      <t>N</t>
    </r>
    <r>
      <rPr>
        <b/>
        <sz val="12"/>
        <color rgb="FFFFFFFF"/>
        <rFont val="Franklin Gothic Book"/>
        <family val="2"/>
      </rPr>
      <t xml:space="preserve"> et de l'évolution annuelle au 1er août </t>
    </r>
    <r>
      <rPr>
        <b/>
        <i/>
        <sz val="12"/>
        <color rgb="FFFFFFFF"/>
        <rFont val="Franklin Gothic Book"/>
        <family val="2"/>
      </rPr>
      <t>N</t>
    </r>
  </si>
  <si>
    <t>Inflation</t>
  </si>
  <si>
    <r>
      <t xml:space="preserve">Revenu autorisé calculé </t>
    </r>
    <r>
      <rPr>
        <i/>
        <sz val="20"/>
        <color rgb="FFFFFFFF"/>
        <rFont val="Franklin Gothic Book"/>
        <family val="2"/>
      </rPr>
      <t>ex post</t>
    </r>
  </si>
  <si>
    <r>
      <t xml:space="preserve">Postes du revenu autorisé calculé </t>
    </r>
    <r>
      <rPr>
        <i/>
        <sz val="12"/>
        <color theme="0"/>
        <rFont val="Franklin Gothic Book"/>
        <family val="2"/>
      </rPr>
      <t>ex post</t>
    </r>
  </si>
  <si>
    <t>Charges</t>
  </si>
  <si>
    <t>Recettes</t>
  </si>
  <si>
    <t xml:space="preserve"> </t>
  </si>
  <si>
    <t>Evolution du solde du CRCP</t>
  </si>
  <si>
    <r>
      <t>Solde du CRCP au 1</t>
    </r>
    <r>
      <rPr>
        <b/>
        <vertAlign val="superscript"/>
        <sz val="11"/>
        <color rgb="FFC00000"/>
        <rFont val="Franklin Gothic Book"/>
        <family val="2"/>
      </rPr>
      <t>er</t>
    </r>
    <r>
      <rPr>
        <b/>
        <sz val="11"/>
        <color rgb="FFC00000"/>
        <rFont val="Franklin Gothic Book"/>
        <family val="2"/>
      </rPr>
      <t xml:space="preserve"> janvier N</t>
    </r>
  </si>
  <si>
    <r>
      <t>Actualisation du solde du CRCP au 1</t>
    </r>
    <r>
      <rPr>
        <vertAlign val="superscript"/>
        <sz val="11"/>
        <rFont val="Franklin Gothic Book"/>
        <family val="2"/>
      </rPr>
      <t>er</t>
    </r>
    <r>
      <rPr>
        <sz val="11"/>
        <rFont val="Franklin Gothic Book"/>
        <family val="2"/>
      </rPr>
      <t xml:space="preserve"> janvier </t>
    </r>
    <r>
      <rPr>
        <i/>
        <sz val="11"/>
        <rFont val="Franklin Gothic Book"/>
        <family val="2"/>
      </rPr>
      <t>N+1</t>
    </r>
  </si>
  <si>
    <t>Evolutions annuelles</t>
  </si>
  <si>
    <t>Calcul de l'évolution tarifaire à réaliser</t>
  </si>
  <si>
    <r>
      <rPr>
        <b/>
        <sz val="10"/>
        <color rgb="FFFF0000"/>
        <rFont val="Franklin Gothic Book"/>
        <family val="2"/>
      </rPr>
      <t>NE PAS MODIFIER LES CELLULES DANS CET ONGLET -</t>
    </r>
    <r>
      <rPr>
        <b/>
        <sz val="10"/>
        <color rgb="FFC00000"/>
        <rFont val="Franklin Gothic Book"/>
        <family val="2"/>
      </rPr>
      <t xml:space="preserve"> </t>
    </r>
  </si>
  <si>
    <t>0 si arrondi au centième
1 si arrondi à 12 c€</t>
  </si>
  <si>
    <t>Coefficents de la grille tarifaire résultant de l'indexation annuelle</t>
  </si>
  <si>
    <t>Arrondi</t>
  </si>
  <si>
    <t>HTB</t>
  </si>
  <si>
    <t>€/an/contrat</t>
  </si>
  <si>
    <t>Hebdomadaire</t>
  </si>
  <si>
    <t>Dispositif de comptage propriété du gestionnaire de réseau public</t>
  </si>
  <si>
    <t>€/an</t>
  </si>
  <si>
    <t>Dispositif de comptage propriété de l'utilisateur</t>
  </si>
  <si>
    <t>HTB 3</t>
  </si>
  <si>
    <t>c€/MWh</t>
  </si>
  <si>
    <t>HTB 2</t>
  </si>
  <si>
    <t>HTB 1</t>
  </si>
  <si>
    <t>c€/kWh</t>
  </si>
  <si>
    <t>Coeffecient pondérateur de puissance</t>
  </si>
  <si>
    <t>HP</t>
  </si>
  <si>
    <t>€/kW/an</t>
  </si>
  <si>
    <t>HPSH</t>
  </si>
  <si>
    <t>HCSH</t>
  </si>
  <si>
    <t>HPSB</t>
  </si>
  <si>
    <t>HCSB</t>
  </si>
  <si>
    <t>Coefficient pondérateur de l'énergie</t>
  </si>
  <si>
    <t>€/cellule/an</t>
  </si>
  <si>
    <t>Liaisons</t>
  </si>
  <si>
    <t>€/km/an</t>
  </si>
  <si>
    <t>Liaisons aériennes</t>
  </si>
  <si>
    <t>Liaisons souterraines</t>
  </si>
  <si>
    <t>€/kVA/an</t>
  </si>
  <si>
    <t>Prime fixe</t>
  </si>
  <si>
    <t>Part énergie</t>
  </si>
  <si>
    <t>α</t>
  </si>
  <si>
    <t>c€/kW</t>
  </si>
  <si>
    <t>k</t>
  </si>
  <si>
    <t>c€/kW/km/an</t>
  </si>
  <si>
    <t>k - liaisons aériennes</t>
  </si>
  <si>
    <t>k - liaisons souterraines</t>
  </si>
  <si>
    <t>HTB 1 ou HTA 2</t>
  </si>
  <si>
    <t>HTA 1</t>
  </si>
  <si>
    <t>c€/kW/an</t>
  </si>
  <si>
    <t>Zone de facturation pour l'énergie réactive absorbée</t>
  </si>
  <si>
    <t>€/Mvar.h</t>
  </si>
  <si>
    <t>Zone de facturation pour l'énergie réactive fournie</t>
  </si>
  <si>
    <t>COMPOSANTE ANNUELLE DE GESTION (CG)</t>
  </si>
  <si>
    <t>Domaine de tension</t>
  </si>
  <si>
    <t>a1 (€/an) / contrat d'accès au réseau</t>
  </si>
  <si>
    <t>COMPOSANTE ANNUELLE DE COMPTAGE (CC)</t>
  </si>
  <si>
    <t>Fréquence minimale de transmission</t>
  </si>
  <si>
    <t>Propriété du dispositif de
 comptage</t>
  </si>
  <si>
    <t>Composante annuelle de comptage (€/an)</t>
  </si>
  <si>
    <t>Gestionnaire de réseaux publics</t>
  </si>
  <si>
    <t>Utilisateur</t>
  </si>
  <si>
    <t>COMPOSANTE ANNUELLE D'INJECTIONS (CI)</t>
  </si>
  <si>
    <t>Composante annuelle d'injections (c€/MWh)</t>
  </si>
  <si>
    <t>COMPOSANTES ANNUELLES DE SOUTIRAGE (CS) POUR LE DOMAINE DE TENSION HTB 3</t>
  </si>
  <si>
    <t>c 
(c€/kWh)</t>
  </si>
  <si>
    <t>COMPOSANTES ANNUELLES DE SOUTIRAGES (CS) ET COMPOSANTES MENSUELLES DES DEPASSEMENTS DE PUISSANCE SOUSCRITES (CMDPS) POUR LE DOMAINE DE TENSION HTB 2</t>
  </si>
  <si>
    <t>HTB 2 - CU</t>
  </si>
  <si>
    <t>Heures de pointe
(i=1)</t>
  </si>
  <si>
    <t>Heures pleines de saison haute 
(i=2)</t>
  </si>
  <si>
    <t>Heures creuses de saison haute
(i=3)</t>
  </si>
  <si>
    <t>Heures pleines de saison basse
(i=4)</t>
  </si>
  <si>
    <t>Heures creuses de saison basse
(i=5)</t>
  </si>
  <si>
    <t>HTB 2 - MU</t>
  </si>
  <si>
    <t>HTB 2 - LU</t>
  </si>
  <si>
    <t>Coefficient pondérateur de puissance
(€/kW/an)</t>
  </si>
  <si>
    <t>Coefficient pondérateur de l'énergie
(c€/kWh)</t>
  </si>
  <si>
    <t>COMPOSANTES ANNUELLES DE SOUTIRAGES (CS) ET COMPOSANTES MENSUELLES DES DEPASSEMENTS DE PUISSANCE SOUSCRITES (CMDPS) POUR LE DOMAINE DE TENSION HTB 1</t>
  </si>
  <si>
    <t>HTB 1 - CU</t>
  </si>
  <si>
    <t>HTB 1 - MU</t>
  </si>
  <si>
    <t>HTB 1 - LU</t>
  </si>
  <si>
    <t>COMPOSANTE ANNUELLE DES ALIMENTATIONS COMPLEMENTAIRES ET DE SECOURS (CACS)</t>
  </si>
  <si>
    <t>Cellules (€/cellule/an)</t>
  </si>
  <si>
    <t>Liaisons (€/km/an)</t>
  </si>
  <si>
    <t>Domaine de tension de l'alimentation</t>
  </si>
  <si>
    <t>€/kW/an ou €/kVA/an</t>
  </si>
  <si>
    <t>Domaine de tension de l'alimentation principale</t>
  </si>
  <si>
    <t>Domaine de tension de l'alimentation de secours</t>
  </si>
  <si>
    <t>Part puissance
(€/kW/an)</t>
  </si>
  <si>
    <t>Part énergie (c€/kWh)</t>
  </si>
  <si>
    <t>α
(c€/kW)</t>
  </si>
  <si>
    <t>COMPOSANTE DE REGROUPEMENT (CR)</t>
  </si>
  <si>
    <t>k (€/km/an)</t>
  </si>
  <si>
    <t>COMPOSANTE ANNUELLE D'UTILISATION DES OUVRAGES DE TRANSFORMATION (CT)</t>
  </si>
  <si>
    <t>Domaine de tension 
du point de connexion</t>
  </si>
  <si>
    <t>Domaine de tension
 de la tarification appliquée</t>
  </si>
  <si>
    <t>k (€/kW/an)</t>
  </si>
  <si>
    <t>COMPOSANTE ANNUELLE DE DEPASSEMENTS PONCTUELS PROGRAMMES (CDPP) POUR LES DOMAINES DE TENSION HTB 2 ET HTB 1</t>
  </si>
  <si>
    <t>α (c€/kW/an)</t>
  </si>
  <si>
    <t>COMPOSANTE ANNUELLE DE L'ENERGIE REACTIVE (CER)</t>
  </si>
  <si>
    <t>Coût unitaire du dépassement</t>
  </si>
  <si>
    <t>du 01/08/2021 
au 31/07/2022</t>
  </si>
  <si>
    <t>du 01/08/2022
au 31/07/2023</t>
  </si>
  <si>
    <t>du 01/08/2023
au 31/07/2024</t>
  </si>
  <si>
    <t>du 01/08/2024 
au 31/07/2025</t>
  </si>
  <si>
    <t>Coefficients de référence de la grille tarifaire pour la composante annuelle de soutirage</t>
  </si>
  <si>
    <t>du 01/08/2022 au 31/07/2023</t>
  </si>
  <si>
    <t>du 01/08/2023 au 31/07/2024</t>
  </si>
  <si>
    <t>du 01/08/2021 au 31/07/2022</t>
  </si>
  <si>
    <t>du 01/08/2024 au 31/07/2025</t>
  </si>
  <si>
    <t>Tableau  36 :
Composante annuelle 
de gestion</t>
  </si>
  <si>
    <t>Tableau 37 :
Composante annuelle de comptage</t>
  </si>
  <si>
    <t>Tableau 38 :
Composante annuelle d'injections</t>
  </si>
  <si>
    <t>Tableau 39 : 
Composante annuelle de soutirage
Domaine de tension HTB 3</t>
  </si>
  <si>
    <t>Tableau 40 :
Composante annuelle de soutirage
Domaine de tension HTB 2
Version courte utilisation</t>
  </si>
  <si>
    <t>Tableau 41 :
Composante annuelle de soutirage
Domaine de tension HTB 2
Version moyenne utilisation</t>
  </si>
  <si>
    <t>Tableau 42 :
Composante annuelle de soutirage
Domaine de tension HTB 2
Version longue utilisation</t>
  </si>
  <si>
    <t>Tableau 43 :
Composante annuelle de soutirage
Domaine de tension HTB 1
Version courte utilisation</t>
  </si>
  <si>
    <t>Tableau 44 :
Composante annuelle de soutirage
Domaine de tension HTB 1
Version moyenne utilisation</t>
  </si>
  <si>
    <t>Tableau 45 :
Composante annuelle de soutirage
Domaine de tension HTB 1
Version longue utilisation</t>
  </si>
  <si>
    <t>Tableau 46 : 
Composante annuelle des alimentations complémentaires</t>
  </si>
  <si>
    <t>Tableau 47 :
Composante annuelle des alimentations de secours
Réservation de puissance</t>
  </si>
  <si>
    <t>Tableau 48 :
Composante annuelle des alimentations de secours
Tarification du réseau public permettant le secours</t>
  </si>
  <si>
    <t>Tableau 49 :
Composante de regroupement</t>
  </si>
  <si>
    <t>Tableau 50 :
Composante annuelle d'utilisation des ouvrages de transformation</t>
  </si>
  <si>
    <t>Tableau 51 :
Composante annuelle de dépassements ponctuels programmés pour les domaines de tension HTB 2 et HTB 1</t>
  </si>
  <si>
    <t>Tableau 53 :
Composante annuelle de l'énergie réactive entre deux gestionnaires de réseaux publics d'électricité</t>
  </si>
  <si>
    <t>Tableau 36 : Composante annuelle de gestion</t>
  </si>
  <si>
    <t>Tableau 37 : Composante annuelle de comptage</t>
  </si>
  <si>
    <t>Tableau 38 : Composante annuelle des injections</t>
  </si>
  <si>
    <t>Tableau 39 : Composante annuelle de soutirage
Domaine de tension HTB 3</t>
  </si>
  <si>
    <t>Tableau 40 : Composante annuelle de soutirage
Domaine de tension HTB 2
Version courte utilisation (CU)</t>
  </si>
  <si>
    <t>Tableau 41 : Composante annuelle de soutirage
Domaine de tension HTB 2
Version moyenne utilisation (MU)</t>
  </si>
  <si>
    <t>Tableau 42 : Composante annuelle de soutirage
Domaine de tension HTB 2
Version longue utilisation (LU)</t>
  </si>
  <si>
    <t>Tableau 43 : Composante annuelle de soutirage
Domaine de tension HTB 1
Version courte utilisation (CU)</t>
  </si>
  <si>
    <t>Tableau 44 : Composante annuelle de soutirage
Domaine de tension HTB 1
Version moyenne utilisation (MU)</t>
  </si>
  <si>
    <t>Tableau 45 : Composante annuelle de soutirage
Domaine de tension HTB 1
Version longue utilisation (LU)</t>
  </si>
  <si>
    <t>Tableau 46 : Alimentations complémentaires</t>
  </si>
  <si>
    <t>Tableau 47 : Alimentations de secours 
Réservation de puissance</t>
  </si>
  <si>
    <t>Tableau 48 : Alimentations de secours 
Tarification du réseau électrique public permettant le secours</t>
  </si>
  <si>
    <t>Tableau 49 : Composante de regroupement</t>
  </si>
  <si>
    <t>Tableau 50 : Composante annuelle d'utilisation des ouvrages de transformation</t>
  </si>
  <si>
    <t>Tableau 51 : Composante annuelle de dépassement ponctuels programmés (CDPP) pour les domaines de tension HTB 2 et HTB 1</t>
  </si>
  <si>
    <t>Tableau 53 - Composante annuelle de l'énergie réactive entre deux gestionnaires de réseaux publics d'électricité</t>
  </si>
  <si>
    <t>Coûts de contractualisation des flexibilités retenues à des fins de gestion des congestions dans le cadre des appels d’offres expérimentaux</t>
  </si>
  <si>
    <t xml:space="preserve">Ecart entre trajectoire prévisionnelle des services système tension et l’éventuelle mise à jour </t>
  </si>
  <si>
    <t>Recettes nettes liées aux contrats d’échanges entre GRT</t>
  </si>
  <si>
    <t>Abattement et pénalités liés au dispositif d’interruptibilité et aux services système tension</t>
  </si>
  <si>
    <t>Abattements, pénalités et indemnités liés aux réserves d’équilibrage</t>
  </si>
  <si>
    <t>Recettes au titre des plus-values réalisées dans le cadre de la cession d’actifs immobiliers ou de terrains</t>
  </si>
  <si>
    <t>Recettes issues d’éventuels versements des gestionnaires de nouvelles interconnexions exemptées</t>
  </si>
  <si>
    <t>Incitations financières au titre de régulations incitatives</t>
  </si>
  <si>
    <t>Incitation à la maîtrise des coûts des projets de réseaux en dehors des grands projets (2.3.2.3)</t>
  </si>
  <si>
    <t>Régulation incitative permettant de soutenir l‘innovation à l’externe (actions prioritaires) (2.5.4)</t>
  </si>
  <si>
    <t>Régulation incitative sur la mise à disposition des données (qualité et délais) (2.5.3)</t>
  </si>
  <si>
    <t>Coûts de congestions nationales + internationales</t>
  </si>
  <si>
    <t>Charges d'exploitation liées à la constitution des réserves d'équilibrage</t>
  </si>
  <si>
    <t>Tableau 52 - Composante annuelle de l'énergie réactive d'électricité</t>
  </si>
  <si>
    <t>Tableau 52 : Composante annuelle de l'énergie réactive d'électricité</t>
  </si>
  <si>
    <t>Zone facturation pour l'énergie réactive absorbée par l'utilisateur</t>
  </si>
  <si>
    <t>Zone facturation pour l'énergie réactive fournie par l'utilisateur</t>
  </si>
  <si>
    <t>Zone de facturation pour l'énergie réactive absorbée par l'utilisateur</t>
  </si>
  <si>
    <t>Zone de facturation pour l'énergie réactive fournie par l'utilisateur</t>
  </si>
  <si>
    <t>Régulation incitative sur le coût unitaire de la gestion des actifs</t>
  </si>
  <si>
    <t>moyenne
2021-2024</t>
  </si>
  <si>
    <t xml:space="preserve">Charges d'exploitation liées à la constitution des réserves d'équilibrage </t>
  </si>
  <si>
    <t xml:space="preserve">Indemnités versées par RTE aux producteurs éoliens en mer </t>
  </si>
  <si>
    <t xml:space="preserve">Ecarts annuels entre recettes prévisionnelles et revenu autorisé prévisionnel </t>
  </si>
  <si>
    <t xml:space="preserve">Frais d'études sans suite liés à l'abandon de grands projets d'investissement lorsque celles-ci ont été approuvées par la CRE </t>
  </si>
  <si>
    <t xml:space="preserve">Coûts de congestions nationales et internationales </t>
  </si>
  <si>
    <t>Recettes d'interconnexion (rentes de congestion et recettes issues du mécanisme de capacité)</t>
  </si>
  <si>
    <t xml:space="preserve">Solde éventuel restant sur le fonds pour le règlement du rééquilibrage en capacité des fournisseurs et le fonds pour le règlement des écarts des responsables de périmètre de certification </t>
  </si>
  <si>
    <t xml:space="preserve">Incitation à la maîtrise des coûts des projets de réseaux en dehors des grands projets </t>
  </si>
  <si>
    <t>Régulation incitative sur la mise à disposition des données (qualité et délais)</t>
  </si>
  <si>
    <t xml:space="preserve">Régulation incitative permettant de soutenir l‘innovation à l’externe (actions prioritaires) </t>
  </si>
  <si>
    <t>Régulation incitative sur les volumes de gestion des actifs</t>
  </si>
  <si>
    <t>Apurement du solde du CRCP prévisionnel du TURPE 5 HTB</t>
  </si>
  <si>
    <t>APUREMENT DU SOLDE DU CRCP DU TURPE 5 HTB</t>
  </si>
  <si>
    <t xml:space="preserve">Les composantes mensuelles des dépassements de puissance souscrite pour les utilisateurs d'un point de connexion situé dans le domaine de tension HTB 2 sont établies chaque mois selon les modalités décrites au 5.2.1.4.4 de la délibération du 21 janvier 2021. </t>
  </si>
  <si>
    <t>Inflation prévisionnelle cumulée entre 2019 et l'année N</t>
  </si>
  <si>
    <t xml:space="preserve">Charges relatives à la compensation des pertes </t>
  </si>
  <si>
    <t xml:space="preserve">Incitation à la maîtrise des dépenses d'investissement des grands projets  de réseaux </t>
  </si>
  <si>
    <t xml:space="preserve">Régulation incitative de la continuité d'alimentation </t>
  </si>
  <si>
    <t xml:space="preserve">Régulation incitative sur la mise à disposition des données (qualité et délais) </t>
  </si>
  <si>
    <t>Régulation incitative permettant de soutenir l‘innovation à l’externe (actions prioritaires)</t>
  </si>
  <si>
    <t>Apurement du solde du CRCP du TURPE 5 HTB</t>
  </si>
  <si>
    <t xml:space="preserve">Les composantes mensuelles des dépassements de puissance souscrite pour les utilisateurs d'un point de connexion situé dans le domaine de tension HTB 1 sont établies chaque mois selon les modalités décrites au 5.2.1.4.4 de la délibération du 21 janvier 2021. </t>
  </si>
  <si>
    <t>Charges de capital incitées "hors réseaux" hors Lille et Marseille</t>
  </si>
  <si>
    <r>
      <t>Charges de capital incitées "hors réseaux"</t>
    </r>
    <r>
      <rPr>
        <sz val="10"/>
        <color rgb="FFFF0000"/>
        <rFont val="Franklin Gothic Book"/>
        <family val="2"/>
      </rPr>
      <t xml:space="preserve"> </t>
    </r>
    <r>
      <rPr>
        <i/>
        <sz val="10"/>
        <color theme="6" tint="-0.249977111117893"/>
        <rFont val="Franklin Gothic Book"/>
        <family val="2"/>
      </rPr>
      <t>hors Lille et Marseille</t>
    </r>
  </si>
  <si>
    <t xml:space="preserve">Ecart entre trajectoire prévisionnelle des réserves d'équilibrage et l’éventuelle mise à jour </t>
  </si>
  <si>
    <t>Recettes prévisionnelles calculées à partir de la grille tarifaire TURPE 5 en vigueur au 1er août 2020 (hors abattement électro-intensifs et hors recettes d'injection - part énergie)</t>
  </si>
  <si>
    <t>Recettes prévisionnelles calculées à partir de la grille tarifaire TURPE 5 en vigueur au 1er août 2020 (hors recettes d'injection - part énergie)</t>
  </si>
  <si>
    <t>Recettes prévisionnelles hors évolution au 1er août 2021 (hors recettes d'injection - part énergie)</t>
  </si>
  <si>
    <t>Recettes prévisionnelles hors évolution au 1er août 2021 à compter du 1er août 2021 (hors recettes d'injection - part énergie)</t>
  </si>
  <si>
    <t xml:space="preserve">Recettes prévisionnelles hors évolution au 1er août 2021 </t>
  </si>
  <si>
    <t>Evolution au 1er août 2021</t>
  </si>
  <si>
    <t>VAN au 31/12/2020</t>
  </si>
  <si>
    <t>Charges de capital non incitées  (y compris relatives aux projets de Lille et Marseille)</t>
  </si>
  <si>
    <t>Coûts de congestions nationales et internationales</t>
  </si>
  <si>
    <t>Incitations fin de période</t>
  </si>
  <si>
    <t>Coûts échoués récurrents (VNC des immobilisations démolies et études et travaux sans suite)</t>
  </si>
  <si>
    <t xml:space="preserve">Coûts échoués récurrents (Valeur nette comptable des immobilisations démolies et études et travaux sans suite) </t>
  </si>
  <si>
    <t>Charges nettes d'exploitation (CNE) incitées (hors coûts échoués)</t>
  </si>
  <si>
    <t>Evolution prévisionnelle IPC (N) + X + évolution au 1er août 2021</t>
  </si>
  <si>
    <t>Evolution prévisionnelle IPC (N) + X cumulée entre 2020 et l'année N (y compris évolution au 1er août 2021)</t>
  </si>
  <si>
    <t>Facteur d'évolution annuel (X)</t>
  </si>
  <si>
    <t>Evolution prévisionnelle IPC (N) + X cumulée entre 2021 et l'année N</t>
  </si>
  <si>
    <t>Evolution prévisionnelle IPC (N) + X</t>
  </si>
  <si>
    <t>RECETTES TARIFAIRES PREVISIONNELLES RESULTANT DU TARIF EN VIGUEUR DU 01/08/2021 AU 31/07/2022 (M€)</t>
  </si>
  <si>
    <t>dont recettes prévisionnelles du 1er janvier N au 31 juillet N*</t>
  </si>
  <si>
    <t>Taux moyen</t>
  </si>
  <si>
    <t xml:space="preserve">Régulation incitative des dépenses de recherche &amp; développement (R&amp;D) </t>
  </si>
  <si>
    <t>Revenu autorisé prévisionnel révisé de l'inflation</t>
  </si>
  <si>
    <t xml:space="preserve">Recettes tarifaires perçues par RTE </t>
  </si>
  <si>
    <t>Recettes tarifaires prévisionnelles révisées des évolutions tarifaires réellement appliquées</t>
  </si>
  <si>
    <t>Solde définitif du CRCP au 31 décembre N</t>
  </si>
  <si>
    <r>
      <t xml:space="preserve">Différence de revenus et de recettes au titre de l'année </t>
    </r>
    <r>
      <rPr>
        <b/>
        <i/>
        <sz val="11"/>
        <color theme="1"/>
        <rFont val="Franklin Gothic Book"/>
        <family val="2"/>
      </rPr>
      <t>N</t>
    </r>
  </si>
  <si>
    <t>Régulation incitative à la maîtrise et à la priorisation des dépenses d’investissements</t>
  </si>
  <si>
    <t>Référence projet de loi de finances (chiffres clés)</t>
  </si>
  <si>
    <t>Les cellules sont pré-remplies avec les données prévisionnelles prises en compte par la CRE, en italique de couleur bleue</t>
  </si>
  <si>
    <r>
      <t>Charges liées au dispositif d'interruptibilité</t>
    </r>
    <r>
      <rPr>
        <sz val="10"/>
        <color rgb="FFFF0000"/>
        <rFont val="Franklin Gothic Book"/>
        <family val="2"/>
      </rPr>
      <t xml:space="preserve"> </t>
    </r>
  </si>
  <si>
    <r>
      <t>Indemnités versées par RTE aux GRD au titre des coupures longues au-delà de</t>
    </r>
    <r>
      <rPr>
        <sz val="10"/>
        <color rgb="FFFF0000"/>
        <rFont val="Franklin Gothic Book"/>
        <family val="2"/>
      </rPr>
      <t xml:space="preserve"> </t>
    </r>
    <r>
      <rPr>
        <sz val="10"/>
        <rFont val="Franklin Gothic Book"/>
        <family val="2"/>
      </rPr>
      <t xml:space="preserve">9 M€ </t>
    </r>
  </si>
  <si>
    <r>
      <t>Montants retenus au titre du mécanisme de prise en compte des projets de déploiement industriel des réseaux électriques intelligents</t>
    </r>
    <r>
      <rPr>
        <sz val="10"/>
        <color rgb="FFFF0000"/>
        <rFont val="Franklin Gothic Book"/>
        <family val="2"/>
      </rPr>
      <t xml:space="preserve"> </t>
    </r>
  </si>
  <si>
    <t>Part abattement electro-intensif dans recettes tarifaires hors recettes d'injection</t>
  </si>
  <si>
    <t>Facteur d'évolution annuelle (X)</t>
  </si>
  <si>
    <t xml:space="preserve">Evolution de l'inflation réalisée entre l'année N-1 et l'année N </t>
  </si>
  <si>
    <t>Cumul de l'inflation réalisée entre 2019 et l'année N</t>
  </si>
  <si>
    <t>Revenu autorisé définitif</t>
  </si>
  <si>
    <r>
      <t xml:space="preserve">Prévision IPC hors tabac pour l'année </t>
    </r>
    <r>
      <rPr>
        <b/>
        <i/>
        <sz val="10"/>
        <color theme="1"/>
        <rFont val="Franklin Gothic Book"/>
        <family val="2"/>
      </rPr>
      <t>N (%)</t>
    </r>
  </si>
  <si>
    <t>Apurement prévisionnel sur le 1er semestre N</t>
  </si>
  <si>
    <t>Dénominateur de l'apurement sur le 2nd semestre de l'année N et le 1er semestre de l'année N+1</t>
  </si>
  <si>
    <t>Coefficient k déplafonné au 1er août N</t>
  </si>
  <si>
    <t>k tenant compte des années antérieures</t>
  </si>
  <si>
    <r>
      <t xml:space="preserve">Coefficient d'évolution </t>
    </r>
    <r>
      <rPr>
        <b/>
        <i/>
        <sz val="11"/>
        <color rgb="FFC00000"/>
        <rFont val="Franklin Gothic Book"/>
        <family val="2"/>
      </rPr>
      <t>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août </t>
    </r>
    <r>
      <rPr>
        <b/>
        <i/>
        <sz val="11"/>
        <color rgb="FFC00000"/>
        <rFont val="Franklin Gothic Book"/>
        <family val="2"/>
      </rPr>
      <t>N</t>
    </r>
  </si>
  <si>
    <r>
      <t>k permettant d'apurer le solde prévisionnel du CRCP au 1</t>
    </r>
    <r>
      <rPr>
        <vertAlign val="superscript"/>
        <sz val="11"/>
        <color theme="1"/>
        <rFont val="Franklin Gothic Book"/>
        <family val="2"/>
      </rPr>
      <t>er</t>
    </r>
    <r>
      <rPr>
        <sz val="11"/>
        <color theme="1"/>
        <rFont val="Franklin Gothic Book"/>
        <family val="2"/>
      </rPr>
      <t xml:space="preserve"> août N</t>
    </r>
  </si>
  <si>
    <r>
      <t>Pour information : Solde CRCP prévisionnel au 1</t>
    </r>
    <r>
      <rPr>
        <i/>
        <vertAlign val="superscript"/>
        <sz val="11"/>
        <color theme="1"/>
        <rFont val="Franklin Gothic Book"/>
        <family val="2"/>
      </rPr>
      <t>er</t>
    </r>
    <r>
      <rPr>
        <i/>
        <sz val="11"/>
        <color theme="1"/>
        <rFont val="Franklin Gothic Book"/>
        <family val="2"/>
      </rPr>
      <t xml:space="preserve"> août N+1</t>
    </r>
  </si>
  <si>
    <r>
      <t xml:space="preserve">Evolution réalisée </t>
    </r>
    <r>
      <rPr>
        <b/>
        <i/>
        <sz val="11"/>
        <color rgb="FFC00000"/>
        <rFont val="Franklin Gothic Book"/>
        <family val="2"/>
      </rPr>
      <t>(IPC+X+k)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août</t>
    </r>
    <r>
      <rPr>
        <b/>
        <i/>
        <sz val="11"/>
        <color rgb="FFC00000"/>
        <rFont val="Franklin Gothic Book"/>
        <family val="2"/>
      </rPr>
      <t xml:space="preserve"> N</t>
    </r>
  </si>
  <si>
    <t>Solde prévisionnel du CRCP au 1er août N</t>
  </si>
  <si>
    <t>cumul entre 2019 et l'année N</t>
  </si>
  <si>
    <t xml:space="preserve">Cumul de l'inflation prévisionnelle (délibérée) entre 2019 et l'année N </t>
  </si>
  <si>
    <r>
      <t xml:space="preserve">Solde prévisionnel du CRCP au 31 décembre </t>
    </r>
    <r>
      <rPr>
        <b/>
        <i/>
        <sz val="11"/>
        <rFont val="Franklin Gothic Book"/>
        <family val="2"/>
      </rPr>
      <t>N</t>
    </r>
  </si>
  <si>
    <t>Inflation prévisionnelle de l'année N+1 ( Loi de Finance) utilisée pour l'évolution tarifaire au 1er août N</t>
  </si>
  <si>
    <t>Delta de revenu autorisé sur la période d'apurement (2nd semestre de l'année N et le 1er semestre de l'année N+1)</t>
  </si>
  <si>
    <t>Moins-values de cession</t>
  </si>
  <si>
    <t>" incitations"</t>
  </si>
  <si>
    <t>Inflation prévionnelle Loi de Finances</t>
  </si>
  <si>
    <r>
      <t>Cumul IPC +X (à inflation délibérée et k = 0) à partir du 1</t>
    </r>
    <r>
      <rPr>
        <i/>
        <vertAlign val="superscript"/>
        <sz val="10"/>
        <color theme="1" tint="0.499984740745262"/>
        <rFont val="Franklin Gothic Book"/>
        <family val="2"/>
      </rPr>
      <t>er</t>
    </r>
    <r>
      <rPr>
        <i/>
        <sz val="10"/>
        <color theme="1" tint="0.499984740745262"/>
        <rFont val="Franklin Gothic Book"/>
        <family val="2"/>
      </rPr>
      <t xml:space="preserve"> août 2021</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</si>
  <si>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août 2021</t>
    </r>
  </si>
  <si>
    <r>
      <rPr>
        <b/>
        <sz val="11"/>
        <rFont val="Franklin Gothic Book"/>
        <family val="2"/>
      </rPr>
      <t xml:space="preserve">DONNEES D'ENTREE : </t>
    </r>
    <r>
      <rPr>
        <sz val="11"/>
        <rFont val="Franklin Gothic Book"/>
        <family val="2"/>
      </rPr>
      <t xml:space="preserve">
Valeurs prévisionnelles pour la période TURPE 6 </t>
    </r>
  </si>
  <si>
    <r>
      <rPr>
        <b/>
        <sz val="11"/>
        <rFont val="Franklin Gothic Book"/>
        <family val="2"/>
      </rPr>
      <t xml:space="preserve">DONNEES D'ENTREE </t>
    </r>
    <r>
      <rPr>
        <sz val="11"/>
        <rFont val="Franklin Gothic Book"/>
        <family val="2"/>
      </rPr>
      <t xml:space="preserve">: Inflation réalisée, à remplir pour chaque année </t>
    </r>
    <r>
      <rPr>
        <i/>
        <sz val="11"/>
        <rFont val="Franklin Gothic Book"/>
        <family val="2"/>
      </rPr>
      <t>N-1</t>
    </r>
    <r>
      <rPr>
        <sz val="11"/>
        <rFont val="Franklin Gothic Book"/>
        <family val="2"/>
      </rPr>
      <t xml:space="preserve"> pour l'évolution au 1er août </t>
    </r>
    <r>
      <rPr>
        <i/>
        <sz val="11"/>
        <rFont val="Franklin Gothic Book"/>
        <family val="2"/>
      </rPr>
      <t>N</t>
    </r>
    <r>
      <rPr>
        <sz val="11"/>
        <rFont val="Franklin Gothic Book"/>
        <family val="2"/>
      </rPr>
      <t>; inflation prévisionnelle retenue dans la loi de finances, à actualiser pour chaque année</t>
    </r>
  </si>
  <si>
    <r>
      <rPr>
        <b/>
        <sz val="11"/>
        <rFont val="Franklin Gothic Book"/>
        <family val="2"/>
      </rPr>
      <t>DONNEES D'ENTREE :</t>
    </r>
    <r>
      <rPr>
        <sz val="11"/>
        <rFont val="Franklin Gothic Book"/>
        <family val="2"/>
      </rPr>
      <t xml:space="preserve"> données comptables RTE réalisées des postes du revenu autorisé calculé </t>
    </r>
    <r>
      <rPr>
        <i/>
        <sz val="11"/>
        <rFont val="Franklin Gothic Book"/>
        <family val="2"/>
      </rPr>
      <t>ex post</t>
    </r>
    <r>
      <rPr>
        <sz val="11"/>
        <rFont val="Franklin Gothic Book"/>
        <family val="2"/>
      </rPr>
      <t xml:space="preserve"> selon la délibération TURPE 6 HTB, à remplir pour chaque année </t>
    </r>
    <r>
      <rPr>
        <i/>
        <sz val="11"/>
        <rFont val="Franklin Gothic Book"/>
        <family val="2"/>
      </rPr>
      <t>N-1</t>
    </r>
    <r>
      <rPr>
        <sz val="11"/>
        <rFont val="Franklin Gothic Book"/>
        <family val="2"/>
      </rPr>
      <t xml:space="preserve"> pour l'évolution au 1er août </t>
    </r>
    <r>
      <rPr>
        <i/>
        <sz val="11"/>
        <rFont val="Franklin Gothic Book"/>
        <family val="2"/>
      </rPr>
      <t>N</t>
    </r>
  </si>
  <si>
    <r>
      <rPr>
        <b/>
        <sz val="11"/>
        <rFont val="Franklin Gothic Book"/>
        <family val="2"/>
      </rPr>
      <t>CALCUL :</t>
    </r>
    <r>
      <rPr>
        <sz val="11"/>
        <rFont val="Franklin Gothic Book"/>
        <family val="2"/>
      </rPr>
      <t xml:space="preserve"> chaque année de 2022 à 2024, le solde du CRCP au 31 décembre de l'année </t>
    </r>
    <r>
      <rPr>
        <i/>
        <sz val="11"/>
        <rFont val="Franklin Gothic Book"/>
        <family val="2"/>
      </rPr>
      <t xml:space="preserve">N-1 </t>
    </r>
    <r>
      <rPr>
        <sz val="11"/>
        <rFont val="Franklin Gothic Book"/>
        <family val="2"/>
      </rPr>
      <t xml:space="preserve">est calculé à partir des données d'entrée. Il permet d'obtenir le coefficient K(N) de l'année </t>
    </r>
    <r>
      <rPr>
        <i/>
        <sz val="11"/>
        <rFont val="Franklin Gothic Book"/>
        <family val="2"/>
      </rPr>
      <t>N</t>
    </r>
    <r>
      <rPr>
        <sz val="11"/>
        <rFont val="Franklin Gothic Book"/>
        <family val="2"/>
      </rPr>
      <t xml:space="preserve"> et le pourcentage d'évolution à appliquer à la grille tarifaire au 1er août </t>
    </r>
    <r>
      <rPr>
        <i/>
        <sz val="11"/>
        <rFont val="Franklin Gothic Book"/>
        <family val="2"/>
      </rPr>
      <t>N</t>
    </r>
    <r>
      <rPr>
        <sz val="11"/>
        <rFont val="Franklin Gothic Book"/>
        <family val="2"/>
      </rPr>
      <t xml:space="preserve"> (selon la formule IPCprévisionnelle loi de finance (N) + X+ K(N))</t>
    </r>
  </si>
  <si>
    <r>
      <rPr>
        <b/>
        <sz val="11"/>
        <rFont val="Franklin Gothic Book"/>
        <family val="2"/>
      </rPr>
      <t>RESULTATS :</t>
    </r>
    <r>
      <rPr>
        <sz val="11"/>
        <rFont val="Franklin Gothic Book"/>
        <family val="2"/>
      </rPr>
      <t xml:space="preserve"> composantes du TURPE 6 HTB du 1er août N au 31 juillet N+1 </t>
    </r>
  </si>
  <si>
    <r>
      <t xml:space="preserve">2. reporter les valeurs des différents postes du revenu autorisé de l'année </t>
    </r>
    <r>
      <rPr>
        <i/>
        <sz val="11"/>
        <rFont val="Franklin Gothic Book"/>
        <family val="2"/>
      </rPr>
      <t>N-1</t>
    </r>
    <r>
      <rPr>
        <sz val="11"/>
        <rFont val="Franklin Gothic Book"/>
        <family val="2"/>
      </rPr>
      <t>, à partir des calculs prévus par la délibération TURPE 6 HTB ou des données comptables de RTE</t>
    </r>
  </si>
  <si>
    <r>
      <t>Evolutions au 01/08/</t>
    </r>
    <r>
      <rPr>
        <b/>
        <i/>
        <sz val="11"/>
        <rFont val="Franklin Gothic Book"/>
        <family val="2"/>
      </rPr>
      <t>N</t>
    </r>
  </si>
  <si>
    <r>
      <t>5. relever les résultats : les termes de la nouvelle grille tarifaire au 1</t>
    </r>
    <r>
      <rPr>
        <vertAlign val="superscript"/>
        <sz val="11"/>
        <color theme="1"/>
        <rFont val="Franklin Gothic Book"/>
        <family val="2"/>
      </rPr>
      <t>er</t>
    </r>
    <r>
      <rPr>
        <sz val="11"/>
        <color theme="1"/>
        <rFont val="Franklin Gothic Book"/>
        <family val="2"/>
      </rPr>
      <t xml:space="preserve"> août </t>
    </r>
    <r>
      <rPr>
        <i/>
        <sz val="11"/>
        <rFont val="Franklin Gothic Book"/>
        <family val="2"/>
      </rPr>
      <t>N</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</si>
  <si>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août 2022 (utilisée pour la MAJ des grilles tarifaires)</t>
    </r>
  </si>
  <si>
    <r>
      <t xml:space="preserve">Evolution IPC+X au 1er août N (à inflation prévisionnelle loi de finance, et k </t>
    </r>
    <r>
      <rPr>
        <sz val="11"/>
        <rFont val="Franklin Gothic Book"/>
        <family val="2"/>
      </rPr>
      <t>= 0)</t>
    </r>
  </si>
  <si>
    <r>
      <rPr>
        <b/>
        <sz val="14"/>
        <color rgb="FF000000"/>
        <rFont val="Franklin Gothic Book"/>
        <family val="2"/>
      </rPr>
      <t>Avertissement</t>
    </r>
    <r>
      <rPr>
        <b/>
        <sz val="11"/>
        <color rgb="FF000000"/>
        <rFont val="Franklin Gothic Book"/>
        <family val="2"/>
      </rPr>
      <t xml:space="preserve">
</t>
    </r>
    <r>
      <rPr>
        <sz val="11"/>
        <color rgb="FF000000"/>
        <rFont val="Franklin Gothic Book"/>
        <family val="2"/>
      </rPr>
      <t xml:space="preserve">Le fichier présenté ici constitue un outil à vocation pédagogique et tend à illustrer les mécanismes décrits dans la délibération n° 2021-12 du 21 janvier 2021 relative au TURPE 6 HTB en vue de faciliter sa compréhension.
Sa publication répond également à un souci croissant de transparence afin d’éclairer les acteurs sur les données structurantes ayant conduit à l’adoption de la délibération et d’améliorer leur visibilité sur les évolutions futures au cours de la période du TURPE 6.
Ce fichier ne fait cependant pas partie intégrante de la délibération, pas plus qu’il n’en constitue un guide d’interprétation.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</si>
</sst>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0.00\ &quot;€&quot;;[Red]\-#,##0.00\ &quot;€&quot;"/>
    <numFmt numFmtId="164" formatCode="_-* #,##0.00\ _€_-;\-* #,##0.00\ _€_-;_-* &quot;-&quot;??\ _€_-;_-@_-"/>
    <numFmt numFmtId="165" formatCode="0.000"/>
    <numFmt numFmtId="166" formatCode="0.0000"/>
    <numFmt numFmtId="167" formatCode="#,##0.0"/>
    <numFmt numFmtId="168" formatCode="0.0000%"/>
    <numFmt numFmtId="169" formatCode="_-* #,##0.00\ _€_-;\-* #,##0.00\ _€_-;_-* &quot;-&quot;?\ _€_-;_-@_-"/>
    <numFmt numFmtId="170" formatCode="#,##0.00_ ;\-#,##0.00\ "/>
    <numFmt numFmtId="171" formatCode="#,##0.0000_ ;\-#,##0.0000\ "/>
    <numFmt numFmtId="172" formatCode="0.000000"/>
    <numFmt numFmtId="173" formatCode="0.0%"/>
    <numFmt numFmtId="174" formatCode="0.0"/>
    <numFmt numFmtId="175" formatCode="0.0000000000"/>
    <numFmt numFmtId="176" formatCode="[&gt;0]\+\ #,##0.00%;[&lt;0]\-\ #,##0.00%;\-"/>
    <numFmt numFmtId="177" formatCode="[&gt;0]\+\ #,##0.00__%;[&lt;0]\-\ #,##0.00__%;\-"/>
    <numFmt numFmtId="178" formatCode="0.00000"/>
    <numFmt numFmtId="179" formatCode="#,##0.000"/>
    <numFmt numFmtId="180" formatCode="0.0000000"/>
    <numFmt numFmtId="181" formatCode="0.00000000"/>
    <numFmt numFmtId="182" formatCode="#,##0_ ;\-#,##0\ "/>
    <numFmt numFmtId="183" formatCode="0.000%"/>
  </numFmts>
  <fonts count="109" x14ac:knownFonts="1">
    <font>
      <sz val="11"/>
      <color theme="1"/>
      <name val="Calibri"/>
      <family val="2"/>
      <scheme val="minor"/>
    </font>
    <font>
      <sz val="10"/>
      <color theme="1"/>
      <name val="Franklin Gothic Book"/>
      <family val="2"/>
    </font>
    <font>
      <sz val="11"/>
      <color theme="1"/>
      <name val="Calibri"/>
      <family val="2"/>
      <scheme val="minor"/>
    </font>
    <font>
      <b/>
      <sz val="11"/>
      <color rgb="FFFF0000"/>
      <name val="Calibri"/>
      <family val="2"/>
      <scheme val="minor"/>
    </font>
    <font>
      <sz val="10"/>
      <color rgb="FFFFFFFF"/>
      <name val="Franklin Gothic Book"/>
      <family val="2"/>
    </font>
    <font>
      <sz val="10"/>
      <color rgb="FF000000"/>
      <name val="Franklin Gothic Book"/>
      <family val="2"/>
    </font>
    <font>
      <b/>
      <sz val="10"/>
      <color rgb="FFFFFFFF"/>
      <name val="Franklin Gothic Book"/>
      <family val="2"/>
    </font>
    <font>
      <b/>
      <sz val="10"/>
      <color theme="1"/>
      <name val="Franklin Gothic Book"/>
      <family val="2"/>
    </font>
    <font>
      <sz val="10"/>
      <name val="Franklin Gothic Book"/>
      <family val="2"/>
    </font>
    <font>
      <b/>
      <sz val="10"/>
      <color rgb="FFFF0000"/>
      <name val="Franklin Gothic Book"/>
      <family val="2"/>
    </font>
    <font>
      <sz val="18"/>
      <color rgb="FF429188"/>
      <name val="Franklin Gothic Book"/>
      <family val="2"/>
    </font>
    <font>
      <b/>
      <sz val="16"/>
      <color rgb="FF000000"/>
      <name val="Franklin Gothic Book"/>
      <family val="2"/>
    </font>
    <font>
      <b/>
      <sz val="14"/>
      <color rgb="FF000000"/>
      <name val="Franklin Gothic Book"/>
      <family val="2"/>
    </font>
    <font>
      <b/>
      <sz val="11"/>
      <color rgb="FF000000"/>
      <name val="Franklin Gothic Book"/>
      <family val="2"/>
    </font>
    <font>
      <sz val="11"/>
      <color rgb="FF000000"/>
      <name val="Franklin Gothic Book"/>
      <family val="2"/>
    </font>
    <font>
      <b/>
      <sz val="12"/>
      <color rgb="FFFFFFFF"/>
      <name val="Franklin Gothic Book"/>
      <family val="2"/>
    </font>
    <font>
      <sz val="12"/>
      <color rgb="FFFFFFFF"/>
      <name val="Franklin Gothic Book"/>
      <family val="2"/>
    </font>
    <font>
      <sz val="11"/>
      <color theme="1"/>
      <name val="Franklin Gothic Book"/>
      <family val="2"/>
    </font>
    <font>
      <sz val="11"/>
      <name val="Franklin Gothic Book"/>
      <family val="2"/>
    </font>
    <font>
      <b/>
      <sz val="11"/>
      <name val="Franklin Gothic Book"/>
      <family val="2"/>
    </font>
    <font>
      <b/>
      <i/>
      <sz val="11"/>
      <name val="Franklin Gothic Book"/>
      <family val="2"/>
    </font>
    <font>
      <sz val="11"/>
      <color theme="0"/>
      <name val="Franklin Gothic Book"/>
      <family val="2"/>
    </font>
    <font>
      <i/>
      <sz val="11"/>
      <name val="Franklin Gothic Book"/>
      <family val="2"/>
    </font>
    <font>
      <b/>
      <sz val="10"/>
      <color rgb="FFC00000"/>
      <name val="Franklin Gothic Book"/>
      <family val="2"/>
    </font>
    <font>
      <b/>
      <sz val="10"/>
      <name val="Franklin Gothic Book"/>
      <family val="2"/>
    </font>
    <font>
      <b/>
      <sz val="10"/>
      <name val="Arial"/>
      <family val="2"/>
    </font>
    <font>
      <vertAlign val="superscript"/>
      <sz val="11"/>
      <name val="Franklin Gothic Book"/>
      <family val="2"/>
    </font>
    <font>
      <vertAlign val="superscript"/>
      <sz val="11"/>
      <color theme="1"/>
      <name val="Franklin Gothic Book"/>
      <family val="2"/>
    </font>
    <font>
      <sz val="11"/>
      <color rgb="FFFFFFFF"/>
      <name val="Franklin Gothic Book"/>
      <family val="2"/>
    </font>
    <font>
      <b/>
      <i/>
      <sz val="10"/>
      <color rgb="FFC00000"/>
      <name val="Franklin Gothic Book"/>
      <family val="2"/>
    </font>
    <font>
      <i/>
      <sz val="10"/>
      <name val="Franklin Gothic Book"/>
      <family val="2"/>
    </font>
    <font>
      <sz val="12"/>
      <color theme="1"/>
      <name val="Franklin Gothic Book"/>
      <family val="2"/>
    </font>
    <font>
      <sz val="20"/>
      <color rgb="FFFFFFFF"/>
      <name val="Franklin Gothic Book"/>
      <family val="2"/>
    </font>
    <font>
      <i/>
      <sz val="11"/>
      <color theme="3"/>
      <name val="Franklin Gothic Book"/>
      <family val="2"/>
    </font>
    <font>
      <i/>
      <sz val="10"/>
      <color theme="1" tint="0.499984740745262"/>
      <name val="Franklin Gothic Book"/>
      <family val="2"/>
    </font>
    <font>
      <i/>
      <sz val="20"/>
      <color rgb="FFFFFFFF"/>
      <name val="Franklin Gothic Book"/>
      <family val="2"/>
    </font>
    <font>
      <sz val="12"/>
      <color theme="0"/>
      <name val="Franklin Gothic Book"/>
      <family val="2"/>
    </font>
    <font>
      <i/>
      <sz val="12"/>
      <color theme="0"/>
      <name val="Franklin Gothic Book"/>
      <family val="2"/>
    </font>
    <font>
      <b/>
      <sz val="11"/>
      <color theme="1"/>
      <name val="Franklin Gothic Book"/>
      <family val="2"/>
    </font>
    <font>
      <b/>
      <i/>
      <sz val="11"/>
      <color theme="3"/>
      <name val="Franklin Gothic Book"/>
      <family val="2"/>
    </font>
    <font>
      <sz val="11"/>
      <color theme="3"/>
      <name val="Franklin Gothic Book"/>
      <family val="2"/>
    </font>
    <font>
      <i/>
      <sz val="11"/>
      <color rgb="FFFF0000"/>
      <name val="Franklin Gothic Book"/>
      <family val="2"/>
    </font>
    <font>
      <i/>
      <sz val="10"/>
      <color theme="1"/>
      <name val="Franklin Gothic Book"/>
      <family val="2"/>
    </font>
    <font>
      <sz val="18"/>
      <name val="Franklin Gothic Book"/>
      <family val="2"/>
    </font>
    <font>
      <b/>
      <sz val="11"/>
      <color rgb="FFC00000"/>
      <name val="Franklin Gothic Book"/>
      <family val="2"/>
    </font>
    <font>
      <b/>
      <vertAlign val="superscript"/>
      <sz val="11"/>
      <color rgb="FFC00000"/>
      <name val="Franklin Gothic Book"/>
      <family val="2"/>
    </font>
    <font>
      <sz val="16"/>
      <color theme="1"/>
      <name val="Franklin Gothic Book"/>
      <family val="2"/>
    </font>
    <font>
      <sz val="11"/>
      <color rgb="FFC00000"/>
      <name val="Franklin Gothic Book"/>
      <family val="2"/>
    </font>
    <font>
      <sz val="11"/>
      <color rgb="FFFF0000"/>
      <name val="Franklin Gothic Book"/>
      <family val="2"/>
    </font>
    <font>
      <i/>
      <sz val="11"/>
      <color theme="1" tint="0.499984740745262"/>
      <name val="Franklin Gothic Book"/>
      <family val="2"/>
    </font>
    <font>
      <b/>
      <sz val="11"/>
      <color rgb="FFC00000"/>
      <name val="Calibri"/>
      <family val="2"/>
      <scheme val="minor"/>
    </font>
    <font>
      <b/>
      <i/>
      <sz val="12"/>
      <color rgb="FFFFFFFF"/>
      <name val="Franklin Gothic Book"/>
      <family val="2"/>
    </font>
    <font>
      <b/>
      <sz val="11"/>
      <color theme="0"/>
      <name val="Calibri"/>
      <family val="2"/>
      <scheme val="minor"/>
    </font>
    <font>
      <i/>
      <sz val="11"/>
      <color theme="3" tint="0.39997558519241921"/>
      <name val="Franklin Gothic Book"/>
      <family val="2"/>
    </font>
    <font>
      <b/>
      <sz val="11"/>
      <color theme="1"/>
      <name val="Calibri"/>
      <family val="2"/>
      <scheme val="minor"/>
    </font>
    <font>
      <u/>
      <sz val="10"/>
      <color theme="10"/>
      <name val="Arial"/>
      <family val="2"/>
    </font>
    <font>
      <sz val="10"/>
      <color theme="6" tint="-0.249977111117893"/>
      <name val="Franklin Gothic Book"/>
      <family val="2"/>
    </font>
    <font>
      <b/>
      <sz val="10"/>
      <color rgb="FF000000"/>
      <name val="Franklin Gothic Book"/>
      <family val="2"/>
    </font>
    <font>
      <i/>
      <sz val="10"/>
      <color theme="6" tint="-0.249977111117893"/>
      <name val="Franklin Gothic Book"/>
      <family val="2"/>
    </font>
    <font>
      <sz val="10"/>
      <color rgb="FFFF0000"/>
      <name val="Franklin Gothic Book"/>
      <family val="2"/>
    </font>
    <font>
      <i/>
      <sz val="10"/>
      <color rgb="FF000000"/>
      <name val="Franklin Gothic Book"/>
      <family val="2"/>
    </font>
    <font>
      <sz val="9"/>
      <name val="Franklin Gothic Book"/>
      <family val="2"/>
    </font>
    <font>
      <b/>
      <i/>
      <sz val="10"/>
      <color theme="1"/>
      <name val="Franklin Gothic Book"/>
      <family val="2"/>
    </font>
    <font>
      <b/>
      <i/>
      <sz val="10"/>
      <color rgb="FF000000"/>
      <name val="Franklin Gothic Book"/>
      <family val="2"/>
    </font>
    <font>
      <b/>
      <i/>
      <sz val="10"/>
      <name val="Franklin Gothic Book"/>
      <family val="2"/>
    </font>
    <font>
      <b/>
      <sz val="8"/>
      <color rgb="FFFF0000"/>
      <name val="Franklin Gothic Book"/>
      <family val="2"/>
    </font>
    <font>
      <sz val="11"/>
      <color theme="7"/>
      <name val="Franklin Gothic Book"/>
      <family val="2"/>
    </font>
    <font>
      <i/>
      <sz val="10"/>
      <color rgb="FFFF0000"/>
      <name val="Franklin Gothic Book"/>
      <family val="2"/>
    </font>
    <font>
      <sz val="8"/>
      <color rgb="FFFF0000"/>
      <name val="Franklin Gothic Book"/>
      <family val="2"/>
    </font>
    <font>
      <b/>
      <sz val="11"/>
      <color rgb="FFFFFFFF"/>
      <name val="Franklin Gothic Book"/>
      <family val="2"/>
    </font>
    <font>
      <sz val="9"/>
      <color theme="1"/>
      <name val="Franklin Gothic Book"/>
      <family val="2"/>
    </font>
    <font>
      <b/>
      <sz val="11"/>
      <color theme="0"/>
      <name val="Franklin Gothic Book"/>
      <family val="2"/>
    </font>
    <font>
      <b/>
      <i/>
      <sz val="11"/>
      <color rgb="FFC00000"/>
      <name val="Franklin Gothic Book"/>
      <family val="2"/>
    </font>
    <font>
      <b/>
      <sz val="11"/>
      <color rgb="FFFF0000"/>
      <name val="Franklin Gothic Book"/>
      <family val="2"/>
    </font>
    <font>
      <b/>
      <sz val="9"/>
      <color rgb="FFC00000"/>
      <name val="Franklin Gothic Book"/>
      <family val="2"/>
    </font>
    <font>
      <b/>
      <sz val="9"/>
      <color theme="0"/>
      <name val="Franklin Gothic Book"/>
      <family val="2"/>
    </font>
    <font>
      <sz val="11"/>
      <color rgb="FFFF0000"/>
      <name val="Calibri"/>
      <family val="2"/>
      <scheme val="minor"/>
    </font>
    <font>
      <sz val="9"/>
      <color rgb="FFFF0000"/>
      <name val="Franklin Gothic Book"/>
      <family val="2"/>
    </font>
    <font>
      <sz val="11"/>
      <name val="Calibri"/>
      <family val="2"/>
      <scheme val="minor"/>
    </font>
    <font>
      <b/>
      <sz val="10"/>
      <color theme="6" tint="-0.249977111117893"/>
      <name val="Franklin Gothic Book"/>
      <family val="2"/>
    </font>
    <font>
      <sz val="11"/>
      <color theme="6" tint="-0.249977111117893"/>
      <name val="Calibri"/>
      <family val="2"/>
      <scheme val="minor"/>
    </font>
    <font>
      <sz val="9"/>
      <color theme="6" tint="-0.249977111117893"/>
      <name val="Franklin Gothic Book"/>
      <family val="2"/>
    </font>
    <font>
      <b/>
      <i/>
      <sz val="10"/>
      <color theme="6" tint="-0.249977111117893"/>
      <name val="Franklin Gothic Book"/>
      <family val="2"/>
    </font>
    <font>
      <sz val="11"/>
      <color indexed="8"/>
      <name val="Calibri"/>
      <family val="2"/>
      <scheme val="minor"/>
    </font>
    <font>
      <i/>
      <sz val="10"/>
      <color rgb="FF0070C0"/>
      <name val="Franklin Gothic Book"/>
      <family val="2"/>
    </font>
    <font>
      <sz val="10"/>
      <color theme="3"/>
      <name val="Franklin Gothic Book"/>
      <family val="2"/>
    </font>
    <font>
      <b/>
      <sz val="11"/>
      <color theme="3"/>
      <name val="Franklin Gothic Book"/>
      <family val="2"/>
    </font>
    <font>
      <sz val="11"/>
      <color rgb="FF00B050"/>
      <name val="Calibri"/>
      <family val="2"/>
      <scheme val="minor"/>
    </font>
    <font>
      <sz val="10"/>
      <color rgb="FF00B050"/>
      <name val="Franklin Gothic Book"/>
      <family val="2"/>
    </font>
    <font>
      <i/>
      <sz val="10"/>
      <color rgb="FF00B050"/>
      <name val="Franklin Gothic Book"/>
      <family val="2"/>
    </font>
    <font>
      <sz val="11"/>
      <color theme="0" tint="-0.499984740745262"/>
      <name val="Calibri"/>
      <family val="2"/>
      <scheme val="minor"/>
    </font>
    <font>
      <b/>
      <sz val="10"/>
      <color theme="0"/>
      <name val="Franklin Gothic Book"/>
      <family val="2"/>
    </font>
    <font>
      <b/>
      <i/>
      <sz val="11"/>
      <color theme="1"/>
      <name val="Franklin Gothic Book"/>
      <family val="2"/>
    </font>
    <font>
      <b/>
      <u/>
      <sz val="10"/>
      <name val="Franklin Gothic Book"/>
      <family val="2"/>
    </font>
    <font>
      <b/>
      <i/>
      <sz val="10"/>
      <color rgb="FF0070C0"/>
      <name val="Franklin Gothic Book"/>
      <family val="2"/>
    </font>
    <font>
      <i/>
      <sz val="11"/>
      <color theme="1"/>
      <name val="Franklin Gothic Book"/>
      <family val="2"/>
    </font>
    <font>
      <i/>
      <vertAlign val="superscript"/>
      <sz val="11"/>
      <color theme="1"/>
      <name val="Franklin Gothic Book"/>
      <family val="2"/>
    </font>
    <font>
      <i/>
      <vertAlign val="superscript"/>
      <sz val="10"/>
      <color theme="1" tint="0.499984740745262"/>
      <name val="Franklin Gothic Book"/>
      <family val="2"/>
    </font>
    <font>
      <i/>
      <sz val="10"/>
      <color theme="1" tint="0.499984740745262"/>
      <name val="Franklin Gothic Book"/>
      <family val="2"/>
    </font>
    <font>
      <sz val="11"/>
      <color theme="7"/>
      <name val="Calibri"/>
      <family val="2"/>
      <scheme val="minor"/>
    </font>
    <font>
      <b/>
      <sz val="11"/>
      <color theme="1"/>
      <name val="Franklin Gothic Book"/>
      <family val="2"/>
    </font>
    <font>
      <sz val="11"/>
      <color theme="1"/>
      <name val="Franklin Gothic Book"/>
      <family val="2"/>
    </font>
    <font>
      <i/>
      <sz val="11"/>
      <color theme="3" tint="0.39997558519241921"/>
      <name val="Franklin Gothic Book"/>
      <family val="2"/>
    </font>
    <font>
      <sz val="11"/>
      <color theme="6" tint="-0.499984740745262"/>
      <name val="Franklin Gothic Book"/>
      <family val="2"/>
    </font>
    <font>
      <b/>
      <sz val="10"/>
      <color rgb="FFFFFFFF"/>
      <name val="Franklin Gothic Book"/>
      <family val="2"/>
    </font>
    <font>
      <sz val="11"/>
      <color theme="1"/>
      <name val="Franklin Gothic Book"/>
      <family val="2"/>
    </font>
    <font>
      <i/>
      <sz val="11"/>
      <color theme="3" tint="0.39997558519241921"/>
      <name val="Franklin Gothic Book"/>
      <family val="2"/>
    </font>
    <font>
      <b/>
      <i/>
      <sz val="11"/>
      <color rgb="FFFF0000"/>
      <name val="Franklin Gothic Book"/>
      <family val="2"/>
    </font>
    <font>
      <sz val="10"/>
      <color theme="0" tint="-0.499984740745262"/>
      <name val="Franklin Gothic Book"/>
      <family val="2"/>
    </font>
  </fonts>
  <fills count="2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65"/>
        <bgColor theme="9"/>
      </patternFill>
    </fill>
    <fill>
      <patternFill patternType="solid">
        <fgColor theme="0" tint="-0.34998626667073579"/>
        <bgColor theme="9"/>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7"/>
        <bgColor theme="9"/>
      </patternFill>
    </fill>
    <fill>
      <patternFill patternType="solid">
        <fgColor theme="6" tint="-0.24997711111789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theme="9"/>
      </patternFill>
    </fill>
  </fills>
  <borders count="149">
    <border>
      <left/>
      <right/>
      <top/>
      <bottom/>
      <diagonal/>
    </border>
    <border>
      <left style="medium">
        <color rgb="FFFFFFFF"/>
      </left>
      <right/>
      <top/>
      <bottom/>
      <diagonal/>
    </border>
    <border>
      <left style="medium">
        <color rgb="FF009AAA"/>
      </left>
      <right style="medium">
        <color rgb="FF009AAA"/>
      </right>
      <top style="medium">
        <color rgb="FF009AAA"/>
      </top>
      <bottom style="medium">
        <color rgb="FF009AAA"/>
      </bottom>
      <diagonal/>
    </border>
    <border>
      <left/>
      <right style="medium">
        <color theme="8"/>
      </right>
      <top/>
      <bottom/>
      <diagonal/>
    </border>
    <border>
      <left/>
      <right/>
      <top style="medium">
        <color theme="8"/>
      </top>
      <bottom/>
      <diagonal/>
    </border>
    <border>
      <left style="medium">
        <color theme="8"/>
      </left>
      <right style="medium">
        <color theme="8"/>
      </right>
      <top style="medium">
        <color theme="8"/>
      </top>
      <bottom style="medium">
        <color theme="8"/>
      </bottom>
      <diagonal/>
    </border>
    <border>
      <left style="medium">
        <color theme="8"/>
      </left>
      <right/>
      <top style="medium">
        <color theme="8"/>
      </top>
      <bottom/>
      <diagonal/>
    </border>
    <border>
      <left style="medium">
        <color theme="8"/>
      </left>
      <right style="medium">
        <color theme="8"/>
      </right>
      <top/>
      <bottom/>
      <diagonal/>
    </border>
    <border>
      <left style="medium">
        <color theme="8"/>
      </left>
      <right/>
      <top style="medium">
        <color theme="8"/>
      </top>
      <bottom style="medium">
        <color theme="8"/>
      </bottom>
      <diagonal/>
    </border>
    <border>
      <left style="medium">
        <color theme="8"/>
      </left>
      <right/>
      <top/>
      <bottom/>
      <diagonal/>
    </border>
    <border>
      <left/>
      <right/>
      <top/>
      <bottom style="medium">
        <color theme="8"/>
      </bottom>
      <diagonal/>
    </border>
    <border>
      <left style="medium">
        <color theme="8"/>
      </left>
      <right style="medium">
        <color theme="8"/>
      </right>
      <top/>
      <bottom style="medium">
        <color theme="8"/>
      </bottom>
      <diagonal/>
    </border>
    <border>
      <left/>
      <right style="medium">
        <color theme="6"/>
      </right>
      <top/>
      <bottom/>
      <diagonal/>
    </border>
    <border>
      <left style="medium">
        <color theme="6"/>
      </left>
      <right style="medium">
        <color theme="6"/>
      </right>
      <top style="medium">
        <color theme="6"/>
      </top>
      <bottom style="medium">
        <color theme="6"/>
      </bottom>
      <diagonal/>
    </border>
    <border>
      <left style="medium">
        <color theme="5"/>
      </left>
      <right style="medium">
        <color theme="5"/>
      </right>
      <top style="medium">
        <color theme="5"/>
      </top>
      <bottom style="medium">
        <color theme="5"/>
      </bottom>
      <diagonal/>
    </border>
    <border>
      <left style="medium">
        <color theme="5"/>
      </left>
      <right style="medium">
        <color rgb="FFFFFFFF"/>
      </right>
      <top style="medium">
        <color theme="5"/>
      </top>
      <bottom/>
      <diagonal/>
    </border>
    <border>
      <left style="medium">
        <color rgb="FFFFFFFF"/>
      </left>
      <right style="medium">
        <color rgb="FFFFFFFF"/>
      </right>
      <top style="medium">
        <color theme="5"/>
      </top>
      <bottom/>
      <diagonal/>
    </border>
    <border>
      <left/>
      <right style="medium">
        <color rgb="FFFFFFFF"/>
      </right>
      <top style="medium">
        <color theme="5"/>
      </top>
      <bottom/>
      <diagonal/>
    </border>
    <border>
      <left/>
      <right style="medium">
        <color theme="5"/>
      </right>
      <top style="medium">
        <color theme="5"/>
      </top>
      <bottom/>
      <diagonal/>
    </border>
    <border>
      <left style="medium">
        <color theme="5"/>
      </left>
      <right style="medium">
        <color rgb="FFFFFFFF"/>
      </right>
      <top style="medium">
        <color theme="5"/>
      </top>
      <bottom style="medium">
        <color theme="5"/>
      </bottom>
      <diagonal/>
    </border>
    <border>
      <left/>
      <right style="medium">
        <color theme="5"/>
      </right>
      <top style="medium">
        <color theme="5"/>
      </top>
      <bottom style="medium">
        <color theme="5"/>
      </bottom>
      <diagonal/>
    </border>
    <border>
      <left/>
      <right style="medium">
        <color rgb="FFFFFFFF"/>
      </right>
      <top style="medium">
        <color theme="5"/>
      </top>
      <bottom style="medium">
        <color theme="5"/>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style="medium">
        <color theme="7"/>
      </left>
      <right style="medium">
        <color rgb="FFFFFFFF"/>
      </right>
      <top style="medium">
        <color theme="7"/>
      </top>
      <bottom style="medium">
        <color theme="7"/>
      </bottom>
      <diagonal/>
    </border>
    <border>
      <left/>
      <right style="medium">
        <color rgb="FFFFFFFF"/>
      </right>
      <top style="medium">
        <color theme="7"/>
      </top>
      <bottom style="medium">
        <color theme="7"/>
      </bottom>
      <diagonal/>
    </border>
    <border>
      <left style="medium">
        <color theme="7"/>
      </left>
      <right style="medium">
        <color theme="7"/>
      </right>
      <top/>
      <bottom style="medium">
        <color theme="7"/>
      </bottom>
      <diagonal/>
    </border>
    <border>
      <left style="medium">
        <color theme="7"/>
      </left>
      <right style="medium">
        <color theme="7"/>
      </right>
      <top style="medium">
        <color theme="7"/>
      </top>
      <bottom/>
      <diagonal/>
    </border>
    <border>
      <left style="medium">
        <color theme="7"/>
      </left>
      <right/>
      <top style="medium">
        <color theme="7"/>
      </top>
      <bottom/>
      <diagonal/>
    </border>
    <border>
      <left/>
      <right style="medium">
        <color theme="7"/>
      </right>
      <top style="medium">
        <color theme="7"/>
      </top>
      <bottom/>
      <diagonal/>
    </border>
    <border>
      <left style="medium">
        <color theme="8"/>
      </left>
      <right style="medium">
        <color rgb="FFFFFFFF"/>
      </right>
      <top style="medium">
        <color theme="8"/>
      </top>
      <bottom style="medium">
        <color theme="0"/>
      </bottom>
      <diagonal/>
    </border>
    <border>
      <left style="medium">
        <color rgb="FFFFFFFF"/>
      </left>
      <right/>
      <top style="medium">
        <color theme="8"/>
      </top>
      <bottom style="medium">
        <color theme="0"/>
      </bottom>
      <diagonal/>
    </border>
    <border>
      <left style="medium">
        <color rgb="FFFFFFFF"/>
      </left>
      <right style="medium">
        <color rgb="FFFFFFFF"/>
      </right>
      <top style="medium">
        <color theme="8"/>
      </top>
      <bottom style="medium">
        <color theme="0"/>
      </bottom>
      <diagonal/>
    </border>
    <border>
      <left style="medium">
        <color theme="8"/>
      </left>
      <right/>
      <top style="medium">
        <color theme="8"/>
      </top>
      <bottom style="medium">
        <color theme="0"/>
      </bottom>
      <diagonal/>
    </border>
    <border>
      <left/>
      <right/>
      <top style="medium">
        <color theme="8"/>
      </top>
      <bottom style="medium">
        <color theme="0"/>
      </bottom>
      <diagonal/>
    </border>
    <border>
      <left style="medium">
        <color theme="0"/>
      </left>
      <right/>
      <top style="medium">
        <color theme="8"/>
      </top>
      <bottom style="medium">
        <color theme="0"/>
      </bottom>
      <diagonal/>
    </border>
    <border>
      <left style="medium">
        <color theme="0"/>
      </left>
      <right style="medium">
        <color rgb="FFFFFFFF"/>
      </right>
      <top style="medium">
        <color theme="8"/>
      </top>
      <bottom style="medium">
        <color theme="0"/>
      </bottom>
      <diagonal/>
    </border>
    <border>
      <left style="medium">
        <color theme="6"/>
      </left>
      <right/>
      <top/>
      <bottom/>
      <diagonal/>
    </border>
    <border>
      <left style="medium">
        <color theme="6"/>
      </left>
      <right/>
      <top style="medium">
        <color theme="6"/>
      </top>
      <bottom style="medium">
        <color theme="6"/>
      </bottom>
      <diagonal/>
    </border>
    <border>
      <left style="medium">
        <color theme="6"/>
      </left>
      <right style="medium">
        <color theme="6"/>
      </right>
      <top style="medium">
        <color theme="0"/>
      </top>
      <bottom style="medium">
        <color theme="6"/>
      </bottom>
      <diagonal/>
    </border>
    <border>
      <left style="medium">
        <color theme="6"/>
      </left>
      <right style="medium">
        <color rgb="FFFFFFFF"/>
      </right>
      <top style="medium">
        <color theme="6"/>
      </top>
      <bottom/>
      <diagonal/>
    </border>
    <border>
      <left style="medium">
        <color rgb="FFFFFFFF"/>
      </left>
      <right style="medium">
        <color rgb="FFFFFFFF"/>
      </right>
      <top style="medium">
        <color theme="6"/>
      </top>
      <bottom/>
      <diagonal/>
    </border>
    <border>
      <left/>
      <right style="medium">
        <color theme="6"/>
      </right>
      <top style="medium">
        <color theme="6"/>
      </top>
      <bottom/>
      <diagonal/>
    </border>
    <border>
      <left style="medium">
        <color theme="6"/>
      </left>
      <right style="medium">
        <color theme="6"/>
      </right>
      <top/>
      <bottom/>
      <diagonal/>
    </border>
    <border>
      <left style="medium">
        <color theme="0"/>
      </left>
      <right/>
      <top/>
      <bottom/>
      <diagonal/>
    </border>
    <border>
      <left style="medium">
        <color theme="8"/>
      </left>
      <right style="medium">
        <color rgb="FFFFFFFF"/>
      </right>
      <top style="medium">
        <color theme="8"/>
      </top>
      <bottom/>
      <diagonal/>
    </border>
    <border>
      <left style="medium">
        <color theme="8"/>
      </left>
      <right style="medium">
        <color rgb="FFFFFFFF"/>
      </right>
      <top/>
      <bottom/>
      <diagonal/>
    </border>
    <border>
      <left style="medium">
        <color theme="8"/>
      </left>
      <right style="medium">
        <color rgb="FFFFFFFF"/>
      </right>
      <top/>
      <bottom style="medium">
        <color theme="0"/>
      </bottom>
      <diagonal/>
    </border>
    <border>
      <left style="medium">
        <color theme="8"/>
      </left>
      <right style="medium">
        <color theme="8"/>
      </right>
      <top style="medium">
        <color theme="8"/>
      </top>
      <bottom/>
      <diagonal/>
    </border>
    <border>
      <left style="medium">
        <color theme="0"/>
      </left>
      <right style="medium">
        <color theme="0"/>
      </right>
      <top style="medium">
        <color theme="8"/>
      </top>
      <bottom style="medium">
        <color theme="0"/>
      </bottom>
      <diagonal/>
    </border>
    <border>
      <left style="medium">
        <color theme="6"/>
      </left>
      <right/>
      <top style="medium">
        <color theme="6"/>
      </top>
      <bottom style="thin">
        <color theme="6"/>
      </bottom>
      <diagonal/>
    </border>
    <border>
      <left style="medium">
        <color theme="6"/>
      </left>
      <right/>
      <top style="thin">
        <color theme="6"/>
      </top>
      <bottom style="thin">
        <color theme="6"/>
      </bottom>
      <diagonal/>
    </border>
    <border>
      <left style="medium">
        <color theme="6"/>
      </left>
      <right/>
      <top style="thin">
        <color theme="6"/>
      </top>
      <bottom style="medium">
        <color theme="6"/>
      </bottom>
      <diagonal/>
    </border>
    <border>
      <left/>
      <right style="medium">
        <color theme="6"/>
      </right>
      <top style="medium">
        <color theme="6"/>
      </top>
      <bottom style="thin">
        <color theme="6"/>
      </bottom>
      <diagonal/>
    </border>
    <border>
      <left/>
      <right style="medium">
        <color theme="6"/>
      </right>
      <top style="thin">
        <color theme="6"/>
      </top>
      <bottom style="thin">
        <color theme="6"/>
      </bottom>
      <diagonal/>
    </border>
    <border>
      <left/>
      <right style="medium">
        <color theme="6"/>
      </right>
      <top style="thin">
        <color theme="6"/>
      </top>
      <bottom style="medium">
        <color theme="6"/>
      </bottom>
      <diagonal/>
    </border>
    <border>
      <left style="medium">
        <color theme="6"/>
      </left>
      <right style="medium">
        <color theme="6"/>
      </right>
      <top style="medium">
        <color theme="6"/>
      </top>
      <bottom style="thin">
        <color theme="6"/>
      </bottom>
      <diagonal/>
    </border>
    <border>
      <left style="medium">
        <color theme="6"/>
      </left>
      <right style="medium">
        <color theme="6"/>
      </right>
      <top style="thin">
        <color theme="6"/>
      </top>
      <bottom style="thin">
        <color theme="6"/>
      </bottom>
      <diagonal/>
    </border>
    <border>
      <left style="medium">
        <color theme="6"/>
      </left>
      <right style="medium">
        <color theme="6"/>
      </right>
      <top style="thin">
        <color theme="6"/>
      </top>
      <bottom style="medium">
        <color theme="6"/>
      </bottom>
      <diagonal/>
    </border>
    <border>
      <left style="medium">
        <color theme="6"/>
      </left>
      <right/>
      <top style="medium">
        <color theme="6"/>
      </top>
      <bottom style="medium">
        <color rgb="FFFFFFFF"/>
      </bottom>
      <diagonal/>
    </border>
    <border>
      <left/>
      <right/>
      <top style="medium">
        <color theme="6"/>
      </top>
      <bottom style="medium">
        <color rgb="FFFFFFFF"/>
      </bottom>
      <diagonal/>
    </border>
    <border>
      <left/>
      <right style="medium">
        <color theme="6"/>
      </right>
      <top style="medium">
        <color theme="6"/>
      </top>
      <bottom style="medium">
        <color rgb="FFFFFFFF"/>
      </bottom>
      <diagonal/>
    </border>
    <border>
      <left style="medium">
        <color theme="0"/>
      </left>
      <right/>
      <top style="medium">
        <color theme="6"/>
      </top>
      <bottom/>
      <diagonal/>
    </border>
    <border>
      <left style="medium">
        <color theme="0"/>
      </left>
      <right style="medium">
        <color theme="0"/>
      </right>
      <top style="medium">
        <color theme="6"/>
      </top>
      <bottom style="medium">
        <color theme="0"/>
      </bottom>
      <diagonal/>
    </border>
    <border>
      <left style="medium">
        <color theme="6"/>
      </left>
      <right style="medium">
        <color theme="6"/>
      </right>
      <top/>
      <bottom style="medium">
        <color theme="6"/>
      </bottom>
      <diagonal/>
    </border>
    <border>
      <left style="medium">
        <color theme="6"/>
      </left>
      <right style="medium">
        <color theme="0"/>
      </right>
      <top style="medium">
        <color theme="6"/>
      </top>
      <bottom style="medium">
        <color theme="0"/>
      </bottom>
      <diagonal/>
    </border>
    <border>
      <left style="medium">
        <color theme="6"/>
      </left>
      <right/>
      <top style="medium">
        <color rgb="FFFFFFFF"/>
      </top>
      <bottom style="medium">
        <color theme="0"/>
      </bottom>
      <diagonal/>
    </border>
    <border>
      <left/>
      <right/>
      <top style="medium">
        <color rgb="FFFFFFFF"/>
      </top>
      <bottom style="medium">
        <color theme="0"/>
      </bottom>
      <diagonal/>
    </border>
    <border>
      <left/>
      <right style="medium">
        <color theme="6"/>
      </right>
      <top style="medium">
        <color rgb="FFFFFFFF"/>
      </top>
      <bottom style="medium">
        <color theme="0"/>
      </bottom>
      <diagonal/>
    </border>
    <border>
      <left style="medium">
        <color rgb="FFFFFFFF"/>
      </left>
      <right style="thin">
        <color theme="6"/>
      </right>
      <top style="medium">
        <color theme="6"/>
      </top>
      <bottom style="medium">
        <color theme="6"/>
      </bottom>
      <diagonal/>
    </border>
    <border>
      <left/>
      <right style="medium">
        <color rgb="FF009AAA"/>
      </right>
      <top style="medium">
        <color theme="7"/>
      </top>
      <bottom style="medium">
        <color theme="7"/>
      </bottom>
      <diagonal/>
    </border>
    <border>
      <left style="medium">
        <color theme="7"/>
      </left>
      <right style="medium">
        <color theme="7"/>
      </right>
      <top/>
      <bottom/>
      <diagonal/>
    </border>
    <border>
      <left style="medium">
        <color theme="7"/>
      </left>
      <right style="medium">
        <color rgb="FFFFFFFF"/>
      </right>
      <top style="medium">
        <color theme="7"/>
      </top>
      <bottom/>
      <diagonal/>
    </border>
    <border>
      <left style="medium">
        <color theme="7"/>
      </left>
      <right style="medium">
        <color rgb="FFFFFFFF"/>
      </right>
      <top/>
      <bottom/>
      <diagonal/>
    </border>
    <border>
      <left/>
      <right/>
      <top style="medium">
        <color theme="7"/>
      </top>
      <bottom/>
      <diagonal/>
    </border>
    <border>
      <left style="medium">
        <color rgb="FF009AAA"/>
      </left>
      <right/>
      <top style="medium">
        <color theme="7"/>
      </top>
      <bottom style="medium">
        <color theme="7"/>
      </bottom>
      <diagonal/>
    </border>
    <border>
      <left style="medium">
        <color theme="7"/>
      </left>
      <right/>
      <top/>
      <bottom/>
      <diagonal/>
    </border>
    <border>
      <left/>
      <right style="medium">
        <color theme="6"/>
      </right>
      <top style="medium">
        <color theme="6"/>
      </top>
      <bottom style="medium">
        <color theme="6"/>
      </bottom>
      <diagonal/>
    </border>
    <border>
      <left/>
      <right/>
      <top style="medium">
        <color theme="6"/>
      </top>
      <bottom style="medium">
        <color theme="6"/>
      </bottom>
      <diagonal/>
    </border>
    <border>
      <left/>
      <right/>
      <top/>
      <bottom style="medium">
        <color theme="4" tint="0.39997558519241921"/>
      </bottom>
      <diagonal/>
    </border>
    <border>
      <left style="medium">
        <color theme="8"/>
      </left>
      <right style="medium">
        <color theme="0"/>
      </right>
      <top style="medium">
        <color theme="8"/>
      </top>
      <bottom style="medium">
        <color theme="0"/>
      </bottom>
      <diagonal/>
    </border>
    <border>
      <left/>
      <right style="medium">
        <color rgb="FFFFFFFF"/>
      </right>
      <top style="medium">
        <color theme="8"/>
      </top>
      <bottom style="medium">
        <color theme="0"/>
      </bottom>
      <diagonal/>
    </border>
    <border>
      <left style="medium">
        <color theme="8"/>
      </left>
      <right style="medium">
        <color theme="8"/>
      </right>
      <top/>
      <bottom style="medium">
        <color theme="4" tint="0.39997558519241921"/>
      </bottom>
      <diagonal/>
    </border>
    <border>
      <left/>
      <right/>
      <top style="medium">
        <color theme="8"/>
      </top>
      <bottom style="medium">
        <color theme="4" tint="0.39997558519241921"/>
      </bottom>
      <diagonal/>
    </border>
    <border>
      <left style="medium">
        <color theme="8"/>
      </left>
      <right style="medium">
        <color theme="8"/>
      </right>
      <top style="medium">
        <color theme="4" tint="0.39997558519241921"/>
      </top>
      <bottom/>
      <diagonal/>
    </border>
    <border>
      <left style="medium">
        <color rgb="FFFFFFFF"/>
      </left>
      <right style="medium">
        <color theme="4" tint="0.39997558519241921"/>
      </right>
      <top style="medium">
        <color theme="8"/>
      </top>
      <bottom style="medium">
        <color rgb="FFFFFFFF"/>
      </bottom>
      <diagonal/>
    </border>
    <border>
      <left style="medium">
        <color theme="8"/>
      </left>
      <right/>
      <top style="medium">
        <color theme="0"/>
      </top>
      <bottom/>
      <diagonal/>
    </border>
    <border>
      <left/>
      <right/>
      <top style="medium">
        <color theme="0"/>
      </top>
      <bottom/>
      <diagonal/>
    </border>
    <border>
      <left/>
      <right/>
      <top style="medium">
        <color theme="4" tint="0.39997558519241921"/>
      </top>
      <bottom/>
      <diagonal/>
    </border>
    <border>
      <left/>
      <right style="medium">
        <color rgb="FF009AAA"/>
      </right>
      <top/>
      <bottom/>
      <diagonal/>
    </border>
    <border>
      <left/>
      <right style="medium">
        <color rgb="FF009AAA"/>
      </right>
      <top style="medium">
        <color theme="4" tint="0.39997558519241921"/>
      </top>
      <bottom/>
      <diagonal/>
    </border>
    <border>
      <left/>
      <right style="medium">
        <color rgb="FF009AAA"/>
      </right>
      <top/>
      <bottom style="medium">
        <color theme="8"/>
      </bottom>
      <diagonal/>
    </border>
    <border>
      <left style="medium">
        <color theme="8"/>
      </left>
      <right style="medium">
        <color theme="8"/>
      </right>
      <top style="medium">
        <color theme="8"/>
      </top>
      <bottom style="medium">
        <color rgb="FF009AAA"/>
      </bottom>
      <diagonal/>
    </border>
    <border>
      <left style="medium">
        <color theme="8"/>
      </left>
      <right style="medium">
        <color rgb="FF009AAA"/>
      </right>
      <top/>
      <bottom style="medium">
        <color theme="8"/>
      </bottom>
      <diagonal/>
    </border>
    <border>
      <left/>
      <right style="medium">
        <color theme="8"/>
      </right>
      <top/>
      <bottom style="medium">
        <color theme="8"/>
      </bottom>
      <diagonal/>
    </border>
    <border>
      <left style="medium">
        <color theme="8"/>
      </left>
      <right style="medium">
        <color rgb="FF009AAA"/>
      </right>
      <top/>
      <bottom/>
      <diagonal/>
    </border>
    <border>
      <left/>
      <right style="medium">
        <color theme="8"/>
      </right>
      <top style="medium">
        <color theme="8"/>
      </top>
      <bottom style="medium">
        <color theme="8"/>
      </bottom>
      <diagonal/>
    </border>
    <border>
      <left/>
      <right/>
      <top style="medium">
        <color theme="8"/>
      </top>
      <bottom style="medium">
        <color theme="8"/>
      </bottom>
      <diagonal/>
    </border>
    <border>
      <left style="medium">
        <color theme="8"/>
      </left>
      <right/>
      <top/>
      <bottom style="medium">
        <color theme="8"/>
      </bottom>
      <diagonal/>
    </border>
    <border>
      <left/>
      <right style="medium">
        <color theme="8"/>
      </right>
      <top style="medium">
        <color theme="8"/>
      </top>
      <bottom/>
      <diagonal/>
    </border>
    <border>
      <left style="medium">
        <color theme="0"/>
      </left>
      <right style="medium">
        <color theme="0"/>
      </right>
      <top/>
      <bottom style="medium">
        <color theme="0"/>
      </bottom>
      <diagonal/>
    </border>
    <border>
      <left/>
      <right/>
      <top/>
      <bottom style="medium">
        <color theme="0"/>
      </bottom>
      <diagonal/>
    </border>
    <border>
      <left style="medium">
        <color theme="8"/>
      </left>
      <right style="medium">
        <color theme="8"/>
      </right>
      <top style="medium">
        <color theme="0"/>
      </top>
      <bottom style="medium">
        <color theme="8"/>
      </bottom>
      <diagonal/>
    </border>
    <border>
      <left style="medium">
        <color theme="8"/>
      </left>
      <right style="medium">
        <color theme="8"/>
      </right>
      <top style="medium">
        <color rgb="FFFFFFFF"/>
      </top>
      <bottom style="medium">
        <color theme="8"/>
      </bottom>
      <diagonal/>
    </border>
    <border>
      <left style="medium">
        <color theme="8"/>
      </left>
      <right style="medium">
        <color theme="8"/>
      </right>
      <top style="medium">
        <color theme="0"/>
      </top>
      <bottom/>
      <diagonal/>
    </border>
    <border>
      <left style="medium">
        <color rgb="FFFFFFFF"/>
      </left>
      <right style="medium">
        <color theme="8"/>
      </right>
      <top/>
      <bottom/>
      <diagonal/>
    </border>
    <border>
      <left/>
      <right style="medium">
        <color theme="8"/>
      </right>
      <top style="medium">
        <color theme="4" tint="0.39997558519241921"/>
      </top>
      <bottom/>
      <diagonal/>
    </border>
    <border>
      <left/>
      <right style="medium">
        <color theme="8"/>
      </right>
      <top/>
      <bottom style="medium">
        <color theme="4" tint="0.39997558519241921"/>
      </bottom>
      <diagonal/>
    </border>
    <border>
      <left/>
      <right style="medium">
        <color rgb="FF009AAA"/>
      </right>
      <top style="medium">
        <color theme="0"/>
      </top>
      <bottom/>
      <diagonal/>
    </border>
    <border>
      <left style="medium">
        <color theme="8"/>
      </left>
      <right/>
      <top style="medium">
        <color theme="4" tint="0.39997558519241921"/>
      </top>
      <bottom/>
      <diagonal/>
    </border>
    <border>
      <left/>
      <right style="medium">
        <color rgb="FF009AAA"/>
      </right>
      <top style="medium">
        <color theme="8"/>
      </top>
      <bottom/>
      <diagonal/>
    </border>
    <border>
      <left style="medium">
        <color theme="8"/>
      </left>
      <right style="medium">
        <color rgb="FF009AAA"/>
      </right>
      <top style="medium">
        <color theme="8"/>
      </top>
      <bottom/>
      <diagonal/>
    </border>
    <border>
      <left style="medium">
        <color rgb="FF009AAA"/>
      </left>
      <right style="medium">
        <color theme="8"/>
      </right>
      <top/>
      <bottom style="medium">
        <color theme="8"/>
      </bottom>
      <diagonal/>
    </border>
    <border>
      <left style="medium">
        <color rgb="FF009AAA"/>
      </left>
      <right style="medium">
        <color theme="8"/>
      </right>
      <top style="medium">
        <color theme="8"/>
      </top>
      <bottom/>
      <diagonal/>
    </border>
    <border>
      <left/>
      <right style="medium">
        <color theme="8"/>
      </right>
      <top style="medium">
        <color theme="0"/>
      </top>
      <bottom/>
      <diagonal/>
    </border>
    <border>
      <left/>
      <right style="medium">
        <color theme="0"/>
      </right>
      <top/>
      <bottom/>
      <diagonal/>
    </border>
    <border>
      <left/>
      <right style="medium">
        <color theme="0"/>
      </right>
      <top/>
      <bottom style="medium">
        <color theme="0"/>
      </bottom>
      <diagonal/>
    </border>
    <border>
      <left/>
      <right style="medium">
        <color theme="6"/>
      </right>
      <top/>
      <bottom style="thin">
        <color theme="6"/>
      </bottom>
      <diagonal/>
    </border>
    <border>
      <left/>
      <right style="medium">
        <color theme="6"/>
      </right>
      <top style="thin">
        <color theme="6"/>
      </top>
      <bottom/>
      <diagonal/>
    </border>
    <border>
      <left style="medium">
        <color theme="8"/>
      </left>
      <right/>
      <top style="medium">
        <color theme="0"/>
      </top>
      <bottom style="medium">
        <color theme="8"/>
      </bottom>
      <diagonal/>
    </border>
    <border>
      <left/>
      <right/>
      <top style="medium">
        <color theme="0"/>
      </top>
      <bottom style="medium">
        <color theme="8"/>
      </bottom>
      <diagonal/>
    </border>
    <border>
      <left style="medium">
        <color theme="6"/>
      </left>
      <right/>
      <top style="medium">
        <color theme="6"/>
      </top>
      <bottom/>
      <diagonal/>
    </border>
    <border>
      <left/>
      <right/>
      <top style="medium">
        <color theme="6"/>
      </top>
      <bottom/>
      <diagonal/>
    </border>
    <border>
      <left style="medium">
        <color theme="7"/>
      </left>
      <right/>
      <top/>
      <bottom style="medium">
        <color theme="7"/>
      </bottom>
      <diagonal/>
    </border>
    <border>
      <left style="medium">
        <color rgb="FF009AAA"/>
      </left>
      <right/>
      <top style="medium">
        <color rgb="FF009AAA"/>
      </top>
      <bottom style="medium">
        <color rgb="FF009AAA"/>
      </bottom>
      <diagonal/>
    </border>
    <border>
      <left/>
      <right/>
      <top style="medium">
        <color rgb="FF009AAA"/>
      </top>
      <bottom style="medium">
        <color rgb="FF009AAA"/>
      </bottom>
      <diagonal/>
    </border>
    <border>
      <left/>
      <right style="medium">
        <color rgb="FF009AAA"/>
      </right>
      <top style="medium">
        <color rgb="FF009AAA"/>
      </top>
      <bottom style="medium">
        <color rgb="FF009AAA"/>
      </bottom>
      <diagonal/>
    </border>
    <border>
      <left style="medium">
        <color rgb="FF009AAA"/>
      </left>
      <right style="medium">
        <color rgb="FF009AAA"/>
      </right>
      <top/>
      <bottom style="medium">
        <color rgb="FF009AAA"/>
      </bottom>
      <diagonal/>
    </border>
    <border>
      <left/>
      <right style="medium">
        <color theme="7"/>
      </right>
      <top/>
      <bottom/>
      <diagonal/>
    </border>
    <border>
      <left style="medium">
        <color rgb="FF009AAA"/>
      </left>
      <right/>
      <top/>
      <bottom style="medium">
        <color rgb="FF009AAA"/>
      </bottom>
      <diagonal/>
    </border>
    <border>
      <left style="medium">
        <color rgb="FF009AAA"/>
      </left>
      <right/>
      <top/>
      <bottom/>
      <diagonal/>
    </border>
    <border>
      <left/>
      <right style="medium">
        <color rgb="FF009AAA"/>
      </right>
      <top/>
      <bottom style="medium">
        <color rgb="FF009AAA"/>
      </bottom>
      <diagonal/>
    </border>
    <border>
      <left style="medium">
        <color theme="6"/>
      </left>
      <right/>
      <top/>
      <bottom style="medium">
        <color theme="6"/>
      </bottom>
      <diagonal/>
    </border>
    <border>
      <left/>
      <right style="medium">
        <color theme="6"/>
      </right>
      <top/>
      <bottom style="medium">
        <color theme="6"/>
      </bottom>
      <diagonal/>
    </border>
    <border>
      <left/>
      <right/>
      <top/>
      <bottom style="medium">
        <color theme="6"/>
      </bottom>
      <diagonal/>
    </border>
    <border>
      <left/>
      <right style="medium">
        <color rgb="FFFFFFFF"/>
      </right>
      <top style="medium">
        <color theme="7"/>
      </top>
      <bottom/>
      <diagonal/>
    </border>
    <border>
      <left style="medium">
        <color rgb="FF009AAA"/>
      </left>
      <right/>
      <top style="medium">
        <color rgb="FF009AAA"/>
      </top>
      <bottom/>
      <diagonal/>
    </border>
    <border>
      <left/>
      <right/>
      <top style="medium">
        <color rgb="FF009AAA"/>
      </top>
      <bottom/>
      <diagonal/>
    </border>
    <border>
      <left/>
      <right style="medium">
        <color rgb="FF009AAA"/>
      </right>
      <top style="medium">
        <color rgb="FF009AAA"/>
      </top>
      <bottom/>
      <diagonal/>
    </border>
    <border>
      <left/>
      <right/>
      <top/>
      <bottom style="medium">
        <color rgb="FF009AAA"/>
      </bottom>
      <diagonal/>
    </border>
    <border>
      <left style="medium">
        <color theme="0"/>
      </left>
      <right style="medium">
        <color theme="0"/>
      </right>
      <top/>
      <bottom/>
      <diagonal/>
    </border>
    <border>
      <left style="medium">
        <color theme="8"/>
      </left>
      <right/>
      <top/>
      <bottom style="medium">
        <color rgb="FF009AAA"/>
      </bottom>
      <diagonal/>
    </border>
    <border>
      <left/>
      <right style="medium">
        <color theme="8"/>
      </right>
      <top/>
      <bottom style="medium">
        <color rgb="FF009AAA"/>
      </bottom>
      <diagonal/>
    </border>
    <border>
      <left/>
      <right style="medium">
        <color theme="8"/>
      </right>
      <top style="medium">
        <color rgb="FF009AAA"/>
      </top>
      <bottom/>
      <diagonal/>
    </border>
    <border>
      <left style="medium">
        <color rgb="FF009AAA"/>
      </left>
      <right style="medium">
        <color rgb="FF009AAA"/>
      </right>
      <top style="medium">
        <color rgb="FF009AAA"/>
      </top>
      <bottom/>
      <diagonal/>
    </border>
    <border>
      <left style="medium">
        <color rgb="FF009AAA"/>
      </left>
      <right style="medium">
        <color rgb="FF009AAA"/>
      </right>
      <top/>
      <bottom/>
      <diagonal/>
    </border>
    <border>
      <left style="medium">
        <color indexed="64"/>
      </left>
      <right/>
      <top/>
      <bottom/>
      <diagonal/>
    </border>
  </borders>
  <cellStyleXfs count="8">
    <xf numFmtId="0" fontId="0"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2" fillId="0" borderId="0"/>
    <xf numFmtId="0" fontId="83" fillId="0" borderId="0"/>
  </cellStyleXfs>
  <cellXfs count="794">
    <xf numFmtId="0" fontId="0" fillId="0" borderId="0" xfId="0"/>
    <xf numFmtId="0" fontId="3" fillId="0" borderId="0" xfId="0" applyFont="1"/>
    <xf numFmtId="0" fontId="8" fillId="2" borderId="0" xfId="0" applyFont="1" applyFill="1"/>
    <xf numFmtId="0" fontId="10" fillId="0" borderId="0" xfId="0" applyFont="1" applyAlignment="1">
      <alignment vertical="center"/>
    </xf>
    <xf numFmtId="0" fontId="8" fillId="2" borderId="0" xfId="0" applyFont="1" applyFill="1" applyAlignment="1">
      <alignment vertical="center"/>
    </xf>
    <xf numFmtId="0" fontId="0" fillId="0" borderId="3" xfId="0" applyBorder="1"/>
    <xf numFmtId="0" fontId="0" fillId="0" borderId="4" xfId="0" applyBorder="1"/>
    <xf numFmtId="0" fontId="0" fillId="0" borderId="10" xfId="0" applyBorder="1"/>
    <xf numFmtId="2" fontId="5" fillId="10" borderId="5" xfId="0" applyNumberFormat="1" applyFont="1" applyFill="1" applyBorder="1" applyAlignment="1">
      <alignment horizontal="center" vertical="center" wrapText="1"/>
    </xf>
    <xf numFmtId="0" fontId="4"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17" fillId="6" borderId="14" xfId="2" applyFont="1" applyFill="1" applyBorder="1" applyAlignment="1">
      <alignment horizontal="center" vertical="center" wrapText="1"/>
    </xf>
    <xf numFmtId="0" fontId="28" fillId="8" borderId="14" xfId="0" applyFont="1" applyFill="1" applyBorder="1" applyAlignment="1">
      <alignment horizontal="center" vertical="center" wrapText="1"/>
    </xf>
    <xf numFmtId="0" fontId="17" fillId="3" borderId="14" xfId="2" applyFont="1" applyFill="1" applyBorder="1" applyAlignment="1">
      <alignment horizontal="center" vertical="center" wrapText="1"/>
    </xf>
    <xf numFmtId="0" fontId="17" fillId="5" borderId="14" xfId="2" applyFont="1" applyFill="1" applyBorder="1" applyAlignment="1">
      <alignment horizontal="center" vertical="center" wrapText="1"/>
    </xf>
    <xf numFmtId="0" fontId="15" fillId="9" borderId="19" xfId="2" applyFont="1" applyFill="1" applyBorder="1" applyAlignment="1">
      <alignment horizontal="center" vertical="center" wrapText="1"/>
    </xf>
    <xf numFmtId="0" fontId="15" fillId="9" borderId="20" xfId="2" applyFont="1" applyFill="1" applyBorder="1" applyAlignment="1">
      <alignment horizontal="center" vertical="center" wrapText="1"/>
    </xf>
    <xf numFmtId="0" fontId="15" fillId="9" borderId="21" xfId="2" applyFont="1" applyFill="1" applyBorder="1" applyAlignment="1">
      <alignment horizontal="center" vertical="center" wrapText="1"/>
    </xf>
    <xf numFmtId="0" fontId="17" fillId="0" borderId="14" xfId="2" applyFont="1" applyBorder="1" applyAlignment="1">
      <alignment horizontal="left" vertical="center" wrapText="1"/>
    </xf>
    <xf numFmtId="0" fontId="17" fillId="0" borderId="14" xfId="2" applyFont="1" applyBorder="1" applyAlignment="1">
      <alignment horizontal="center" vertical="center" wrapText="1"/>
    </xf>
    <xf numFmtId="0" fontId="21" fillId="7" borderId="14"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18" fillId="3" borderId="14" xfId="2" applyFont="1" applyFill="1" applyBorder="1" applyAlignment="1">
      <alignment horizontal="left" vertical="center" wrapText="1"/>
    </xf>
    <xf numFmtId="0" fontId="18" fillId="11" borderId="14" xfId="2" applyFont="1" applyFill="1" applyBorder="1" applyAlignment="1">
      <alignment horizontal="left" vertical="center" wrapText="1"/>
    </xf>
    <xf numFmtId="0" fontId="7" fillId="11" borderId="14" xfId="2" applyFont="1" applyFill="1" applyBorder="1" applyAlignment="1">
      <alignment horizontal="center" vertical="center" wrapText="1"/>
    </xf>
    <xf numFmtId="0" fontId="18" fillId="10" borderId="14" xfId="2" applyFont="1" applyFill="1" applyBorder="1" applyAlignment="1">
      <alignment horizontal="left" vertical="center" wrapText="1"/>
    </xf>
    <xf numFmtId="0" fontId="7" fillId="10" borderId="14" xfId="2" applyFont="1" applyFill="1" applyBorder="1" applyAlignment="1">
      <alignment horizontal="center" vertical="center" wrapText="1"/>
    </xf>
    <xf numFmtId="0" fontId="8" fillId="0" borderId="0" xfId="0" applyFont="1" applyAlignment="1">
      <alignment vertical="center"/>
    </xf>
    <xf numFmtId="0" fontId="23" fillId="0" borderId="0" xfId="0" applyFont="1" applyAlignment="1">
      <alignment horizontal="center" vertical="center"/>
    </xf>
    <xf numFmtId="0" fontId="31"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xf>
    <xf numFmtId="14" fontId="8" fillId="0" borderId="0" xfId="0" applyNumberFormat="1" applyFont="1" applyAlignment="1">
      <alignment vertical="center"/>
    </xf>
    <xf numFmtId="0" fontId="33" fillId="0" borderId="0" xfId="0" applyFont="1" applyAlignment="1">
      <alignment vertical="center"/>
    </xf>
    <xf numFmtId="167" fontId="18" fillId="0" borderId="0" xfId="0" applyNumberFormat="1" applyFont="1" applyAlignment="1">
      <alignment horizontal="righ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wrapText="1"/>
    </xf>
    <xf numFmtId="0" fontId="22" fillId="0" borderId="0" xfId="0" applyFont="1" applyAlignment="1">
      <alignment horizontal="right" vertical="center" wrapText="1"/>
    </xf>
    <xf numFmtId="0" fontId="19" fillId="0" borderId="0" xfId="0" applyFont="1" applyAlignment="1">
      <alignment vertical="center"/>
    </xf>
    <xf numFmtId="167" fontId="19" fillId="0" borderId="0" xfId="0" applyNumberFormat="1" applyFont="1" applyAlignment="1">
      <alignment vertical="center"/>
    </xf>
    <xf numFmtId="168" fontId="18" fillId="0" borderId="0" xfId="1" applyNumberFormat="1" applyFont="1" applyFill="1" applyAlignment="1">
      <alignment vertical="center"/>
    </xf>
    <xf numFmtId="168" fontId="48" fillId="0" borderId="0" xfId="0" applyNumberFormat="1" applyFont="1" applyAlignment="1">
      <alignment vertical="center"/>
    </xf>
    <xf numFmtId="0" fontId="48" fillId="0" borderId="0" xfId="0" applyFont="1" applyAlignment="1">
      <alignment vertical="center"/>
    </xf>
    <xf numFmtId="168" fontId="18" fillId="0" borderId="0" xfId="0" applyNumberFormat="1" applyFont="1" applyAlignment="1">
      <alignment vertical="center"/>
    </xf>
    <xf numFmtId="0" fontId="24" fillId="0" borderId="0" xfId="0" applyFont="1" applyAlignment="1">
      <alignment vertical="center"/>
    </xf>
    <xf numFmtId="0" fontId="38" fillId="12" borderId="22" xfId="2" applyFont="1" applyFill="1" applyBorder="1" applyAlignment="1">
      <alignment horizontal="left" vertical="center" wrapText="1"/>
    </xf>
    <xf numFmtId="0" fontId="17" fillId="12" borderId="22" xfId="2" applyFont="1" applyFill="1" applyBorder="1" applyAlignment="1">
      <alignment horizontal="center" vertical="center" wrapText="1"/>
    </xf>
    <xf numFmtId="167" fontId="38" fillId="12" borderId="22" xfId="2" applyNumberFormat="1" applyFont="1" applyFill="1" applyBorder="1" applyAlignment="1">
      <alignment horizontal="center" vertical="center" wrapText="1"/>
    </xf>
    <xf numFmtId="167" fontId="44" fillId="12" borderId="22" xfId="2" applyNumberFormat="1" applyFont="1" applyFill="1" applyBorder="1" applyAlignment="1">
      <alignment horizontal="center" vertical="center" wrapText="1"/>
    </xf>
    <xf numFmtId="0" fontId="38" fillId="12" borderId="22" xfId="2" applyFont="1" applyFill="1" applyBorder="1" applyAlignment="1">
      <alignment horizontal="center" vertical="center" wrapText="1"/>
    </xf>
    <xf numFmtId="0" fontId="16" fillId="7" borderId="26" xfId="2" applyFont="1" applyFill="1" applyBorder="1" applyAlignment="1">
      <alignment horizontal="center" vertical="center" wrapText="1"/>
    </xf>
    <xf numFmtId="0" fontId="18" fillId="0" borderId="29" xfId="0" applyFont="1" applyBorder="1" applyAlignment="1">
      <alignment vertical="center"/>
    </xf>
    <xf numFmtId="0" fontId="18" fillId="0" borderId="30" xfId="0" applyFont="1" applyBorder="1" applyAlignment="1">
      <alignment vertical="center"/>
    </xf>
    <xf numFmtId="167" fontId="18" fillId="0" borderId="31" xfId="0" applyNumberFormat="1" applyFont="1" applyBorder="1" applyAlignment="1">
      <alignment horizontal="right" vertical="center"/>
    </xf>
    <xf numFmtId="0" fontId="36" fillId="7" borderId="26" xfId="2" applyFont="1" applyFill="1" applyBorder="1" applyAlignment="1">
      <alignment horizontal="center" vertical="center" wrapText="1"/>
    </xf>
    <xf numFmtId="167" fontId="17" fillId="12" borderId="22" xfId="2" applyNumberFormat="1" applyFont="1" applyFill="1" applyBorder="1" applyAlignment="1">
      <alignment horizontal="center" vertical="center" wrapText="1"/>
    </xf>
    <xf numFmtId="0" fontId="49" fillId="12" borderId="22" xfId="2" applyFont="1" applyFill="1" applyBorder="1" applyAlignment="1">
      <alignment horizontal="center" vertical="center" wrapText="1"/>
    </xf>
    <xf numFmtId="10" fontId="50" fillId="0" borderId="0" xfId="0" applyNumberFormat="1" applyFont="1" applyAlignment="1">
      <alignment horizontal="center"/>
    </xf>
    <xf numFmtId="2" fontId="5" fillId="0" borderId="5" xfId="0" applyNumberFormat="1" applyFont="1" applyBorder="1" applyAlignment="1">
      <alignment horizontal="center" vertical="center" wrapText="1"/>
    </xf>
    <xf numFmtId="0" fontId="4" fillId="8" borderId="32" xfId="0" applyFont="1" applyFill="1" applyBorder="1" applyAlignment="1">
      <alignment horizontal="center" vertical="center" wrapText="1"/>
    </xf>
    <xf numFmtId="2" fontId="5" fillId="0" borderId="11" xfId="0" applyNumberFormat="1" applyFont="1" applyBorder="1" applyAlignment="1">
      <alignment horizontal="center" vertical="center" wrapText="1"/>
    </xf>
    <xf numFmtId="0" fontId="4" fillId="8" borderId="33" xfId="0" applyFont="1" applyFill="1" applyBorder="1" applyAlignment="1">
      <alignment horizontal="center" vertical="center" wrapText="1"/>
    </xf>
    <xf numFmtId="2" fontId="5" fillId="10" borderId="11" xfId="0" applyNumberFormat="1"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17" fillId="0" borderId="0" xfId="0" applyFont="1"/>
    <xf numFmtId="0" fontId="17" fillId="14" borderId="0" xfId="0" applyFont="1" applyFill="1"/>
    <xf numFmtId="0" fontId="53" fillId="4" borderId="0" xfId="0" applyFont="1" applyFill="1"/>
    <xf numFmtId="164" fontId="0" fillId="0" borderId="0" xfId="3" applyFont="1"/>
    <xf numFmtId="10" fontId="0" fillId="0" borderId="0" xfId="1" applyNumberFormat="1" applyFont="1"/>
    <xf numFmtId="164" fontId="0" fillId="0" borderId="0" xfId="3" applyFont="1" applyFill="1"/>
    <xf numFmtId="164" fontId="0" fillId="4" borderId="0" xfId="3" applyFont="1" applyFill="1"/>
    <xf numFmtId="164" fontId="0" fillId="14" borderId="0" xfId="3" applyFont="1" applyFill="1"/>
    <xf numFmtId="164" fontId="0" fillId="0" borderId="0" xfId="3" applyFont="1" applyFill="1" applyAlignment="1">
      <alignment horizontal="center"/>
    </xf>
    <xf numFmtId="164" fontId="0" fillId="4" borderId="0" xfId="3" applyFont="1" applyFill="1" applyAlignment="1">
      <alignment horizontal="center"/>
    </xf>
    <xf numFmtId="164" fontId="0" fillId="0" borderId="0" xfId="3" applyFont="1" applyAlignment="1">
      <alignment horizontal="center"/>
    </xf>
    <xf numFmtId="164" fontId="0" fillId="14" borderId="0" xfId="3" applyFont="1" applyFill="1" applyAlignment="1">
      <alignment horizontal="center"/>
    </xf>
    <xf numFmtId="10" fontId="0" fillId="0" borderId="0" xfId="1" applyNumberFormat="1" applyFont="1" applyFill="1"/>
    <xf numFmtId="10" fontId="0" fillId="4" borderId="0" xfId="1" applyNumberFormat="1" applyFont="1" applyFill="1"/>
    <xf numFmtId="10" fontId="0" fillId="14" borderId="0" xfId="1" applyNumberFormat="1" applyFont="1" applyFill="1"/>
    <xf numFmtId="0" fontId="17" fillId="0" borderId="0" xfId="0" applyFont="1" applyAlignment="1">
      <alignment horizontal="center" vertical="center" wrapText="1"/>
    </xf>
    <xf numFmtId="0" fontId="23" fillId="0" borderId="0" xfId="0" applyFont="1" applyAlignment="1">
      <alignment horizontal="left" vertical="center"/>
    </xf>
    <xf numFmtId="0" fontId="4" fillId="8" borderId="35" xfId="0" applyFont="1" applyFill="1" applyBorder="1" applyAlignment="1">
      <alignment horizontal="center" vertical="center" wrapText="1"/>
    </xf>
    <xf numFmtId="0" fontId="6" fillId="0" borderId="0" xfId="0" applyFont="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2" fontId="0" fillId="0" borderId="4" xfId="0" applyNumberFormat="1" applyBorder="1"/>
    <xf numFmtId="0" fontId="6" fillId="0" borderId="49" xfId="0" applyFont="1" applyBorder="1" applyAlignment="1">
      <alignment vertical="center" wrapText="1"/>
    </xf>
    <xf numFmtId="0" fontId="17" fillId="0" borderId="0" xfId="0" applyFont="1" applyAlignment="1">
      <alignment horizontal="center" vertical="center"/>
    </xf>
    <xf numFmtId="0" fontId="4" fillId="8" borderId="51" xfId="0" applyFont="1" applyFill="1" applyBorder="1" applyAlignment="1">
      <alignment horizontal="center" vertical="center" wrapText="1"/>
    </xf>
    <xf numFmtId="0" fontId="8" fillId="0" borderId="0" xfId="0" applyFont="1"/>
    <xf numFmtId="0" fontId="0" fillId="4" borderId="0" xfId="0" applyFill="1"/>
    <xf numFmtId="0" fontId="34" fillId="0" borderId="13" xfId="2" applyFont="1" applyBorder="1" applyAlignment="1">
      <alignment horizontal="center" vertical="center" wrapText="1"/>
    </xf>
    <xf numFmtId="0" fontId="16" fillId="6" borderId="64" xfId="2" applyFont="1" applyFill="1" applyBorder="1" applyAlignment="1">
      <alignment horizontal="center" vertical="center" wrapText="1"/>
    </xf>
    <xf numFmtId="0" fontId="16" fillId="6" borderId="65" xfId="2" applyFont="1" applyFill="1" applyBorder="1" applyAlignment="1">
      <alignment horizontal="center" vertical="center" wrapText="1"/>
    </xf>
    <xf numFmtId="0" fontId="16" fillId="6" borderId="67" xfId="2" applyFont="1" applyFill="1" applyBorder="1" applyAlignment="1">
      <alignment horizontal="center" vertical="center" wrapText="1"/>
    </xf>
    <xf numFmtId="0" fontId="55" fillId="0" borderId="66" xfId="5" applyBorder="1" applyAlignment="1">
      <alignment horizontal="center" vertical="center" wrapText="1"/>
    </xf>
    <xf numFmtId="0" fontId="21" fillId="8" borderId="14" xfId="2" applyFont="1" applyFill="1" applyBorder="1" applyAlignment="1">
      <alignment horizontal="center" vertical="center" wrapText="1"/>
    </xf>
    <xf numFmtId="0" fontId="21" fillId="17" borderId="14" xfId="2" applyFont="1" applyFill="1" applyBorder="1" applyAlignment="1">
      <alignment horizontal="center" vertical="center" wrapText="1"/>
    </xf>
    <xf numFmtId="0" fontId="18" fillId="16" borderId="14" xfId="2" applyFont="1" applyFill="1" applyBorder="1" applyAlignment="1">
      <alignment horizontal="left" vertical="center" wrapText="1"/>
    </xf>
    <xf numFmtId="0" fontId="7" fillId="16" borderId="14" xfId="2" applyFont="1" applyFill="1" applyBorder="1" applyAlignment="1">
      <alignment horizontal="center" vertical="center" wrapText="1"/>
    </xf>
    <xf numFmtId="0" fontId="0" fillId="0" borderId="0" xfId="0" applyAlignment="1">
      <alignment horizontal="left"/>
    </xf>
    <xf numFmtId="165" fontId="34" fillId="0" borderId="13" xfId="2" applyNumberFormat="1" applyFont="1" applyBorder="1" applyAlignment="1">
      <alignment horizontal="center" vertical="center" wrapText="1"/>
    </xf>
    <xf numFmtId="0" fontId="9" fillId="0" borderId="0" xfId="0" applyFont="1" applyAlignment="1">
      <alignment horizontal="center" vertical="center"/>
    </xf>
    <xf numFmtId="3" fontId="5" fillId="0" borderId="13" xfId="3" applyNumberFormat="1" applyFont="1" applyFill="1" applyBorder="1" applyAlignment="1">
      <alignment horizontal="right" vertical="center" wrapText="1"/>
    </xf>
    <xf numFmtId="3" fontId="8" fillId="0" borderId="13" xfId="3" applyNumberFormat="1" applyFont="1" applyFill="1" applyBorder="1" applyAlignment="1">
      <alignment horizontal="right" vertical="center" wrapText="1"/>
    </xf>
    <xf numFmtId="3" fontId="58" fillId="0" borderId="13" xfId="3" applyNumberFormat="1" applyFont="1" applyFill="1" applyBorder="1" applyAlignment="1">
      <alignment horizontal="right" vertical="center" wrapText="1"/>
    </xf>
    <xf numFmtId="10" fontId="57" fillId="0" borderId="13" xfId="3" applyNumberFormat="1" applyFont="1" applyFill="1" applyBorder="1" applyAlignment="1">
      <alignment horizontal="right" vertical="center" wrapText="1"/>
    </xf>
    <xf numFmtId="10" fontId="5" fillId="0" borderId="13" xfId="3" applyNumberFormat="1" applyFont="1" applyFill="1" applyBorder="1" applyAlignment="1">
      <alignment horizontal="right" vertical="center" wrapText="1"/>
    </xf>
    <xf numFmtId="165" fontId="56" fillId="0" borderId="13" xfId="3" applyNumberFormat="1" applyFont="1" applyFill="1" applyBorder="1" applyAlignment="1">
      <alignment horizontal="right" vertical="center" wrapText="1"/>
    </xf>
    <xf numFmtId="165" fontId="34" fillId="0" borderId="13" xfId="1" applyNumberFormat="1" applyFont="1" applyBorder="1" applyAlignment="1">
      <alignment horizontal="right"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71" xfId="0" applyFont="1" applyFill="1" applyBorder="1" applyAlignment="1">
      <alignment horizontal="center" vertical="center" wrapText="1"/>
    </xf>
    <xf numFmtId="0" fontId="54" fillId="0" borderId="0" xfId="0" applyFont="1"/>
    <xf numFmtId="10" fontId="57" fillId="0" borderId="13" xfId="1" applyNumberFormat="1" applyFont="1" applyFill="1" applyBorder="1" applyAlignment="1">
      <alignment horizontal="center" vertical="center" wrapText="1"/>
    </xf>
    <xf numFmtId="0" fontId="7" fillId="14" borderId="40" xfId="0" applyFont="1" applyFill="1" applyBorder="1" applyAlignment="1">
      <alignment horizontal="left" vertical="center" wrapText="1"/>
    </xf>
    <xf numFmtId="3" fontId="7" fillId="14" borderId="40" xfId="0" applyNumberFormat="1" applyFont="1" applyFill="1" applyBorder="1" applyAlignment="1">
      <alignment horizontal="right" vertical="center" wrapText="1"/>
    </xf>
    <xf numFmtId="3" fontId="57" fillId="14" borderId="13" xfId="3" applyNumberFormat="1" applyFont="1" applyFill="1" applyBorder="1" applyAlignment="1">
      <alignment horizontal="right" vertical="center" wrapText="1"/>
    </xf>
    <xf numFmtId="3" fontId="24" fillId="14" borderId="13" xfId="3" applyNumberFormat="1" applyFont="1" applyFill="1" applyBorder="1" applyAlignment="1">
      <alignment horizontal="right" vertical="center" wrapText="1"/>
    </xf>
    <xf numFmtId="0" fontId="0" fillId="14" borderId="0" xfId="0" applyFill="1"/>
    <xf numFmtId="0" fontId="52" fillId="6" borderId="0" xfId="0" applyFont="1" applyFill="1" applyAlignment="1">
      <alignment vertical="center"/>
    </xf>
    <xf numFmtId="3" fontId="5" fillId="14" borderId="13" xfId="3" applyNumberFormat="1" applyFont="1" applyFill="1" applyBorder="1" applyAlignment="1">
      <alignment horizontal="right" vertical="center" wrapText="1"/>
    </xf>
    <xf numFmtId="3" fontId="8" fillId="14" borderId="13" xfId="3" applyNumberFormat="1" applyFont="1" applyFill="1" applyBorder="1" applyAlignment="1">
      <alignment horizontal="right" vertical="center" wrapText="1"/>
    </xf>
    <xf numFmtId="0" fontId="58" fillId="0" borderId="40" xfId="0" applyFont="1" applyBorder="1" applyAlignment="1">
      <alignment horizontal="right" vertical="center" wrapText="1"/>
    </xf>
    <xf numFmtId="0" fontId="42" fillId="0" borderId="40" xfId="0" applyFont="1" applyBorder="1" applyAlignment="1">
      <alignment horizontal="right" vertical="center" wrapText="1"/>
    </xf>
    <xf numFmtId="3" fontId="60" fillId="0" borderId="13" xfId="3" applyNumberFormat="1" applyFont="1" applyFill="1" applyBorder="1" applyAlignment="1">
      <alignment horizontal="right" vertical="center" wrapText="1"/>
    </xf>
    <xf numFmtId="3" fontId="30" fillId="0" borderId="13" xfId="3" applyNumberFormat="1" applyFont="1" applyFill="1" applyBorder="1" applyAlignment="1">
      <alignment horizontal="right" vertical="center" wrapText="1"/>
    </xf>
    <xf numFmtId="0" fontId="6" fillId="0" borderId="0" xfId="0" applyFont="1" applyAlignment="1">
      <alignment horizontal="right" vertical="center" wrapText="1"/>
    </xf>
    <xf numFmtId="3" fontId="61" fillId="0" borderId="40" xfId="0" applyNumberFormat="1" applyFont="1" applyBorder="1" applyAlignment="1">
      <alignment horizontal="right" vertical="center" wrapText="1"/>
    </xf>
    <xf numFmtId="3" fontId="61" fillId="0" borderId="13" xfId="3" applyNumberFormat="1" applyFont="1" applyFill="1" applyBorder="1" applyAlignment="1">
      <alignment horizontal="right" vertical="center" wrapText="1"/>
    </xf>
    <xf numFmtId="10" fontId="61" fillId="0" borderId="13" xfId="3" applyNumberFormat="1" applyFont="1" applyFill="1" applyBorder="1" applyAlignment="1">
      <alignment horizontal="right" vertical="center" wrapText="1"/>
    </xf>
    <xf numFmtId="165" fontId="61" fillId="0" borderId="13" xfId="3" applyNumberFormat="1" applyFont="1" applyFill="1" applyBorder="1" applyAlignment="1">
      <alignment horizontal="right" vertical="center" wrapText="1"/>
    </xf>
    <xf numFmtId="0" fontId="8" fillId="0" borderId="25" xfId="0" applyFont="1" applyBorder="1" applyAlignment="1">
      <alignment vertical="center"/>
    </xf>
    <xf numFmtId="0" fontId="43" fillId="0" borderId="76" xfId="0" applyFont="1" applyBorder="1" applyAlignment="1">
      <alignment vertical="center" textRotation="90"/>
    </xf>
    <xf numFmtId="3" fontId="8" fillId="18" borderId="13" xfId="3" applyNumberFormat="1" applyFont="1" applyFill="1" applyBorder="1" applyAlignment="1">
      <alignment horizontal="right" vertical="center" wrapText="1"/>
    </xf>
    <xf numFmtId="3" fontId="0" fillId="0" borderId="0" xfId="0" applyNumberFormat="1"/>
    <xf numFmtId="0" fontId="62" fillId="0" borderId="40" xfId="0" applyFont="1" applyBorder="1" applyAlignment="1">
      <alignment horizontal="right" vertical="center" wrapText="1"/>
    </xf>
    <xf numFmtId="3" fontId="7" fillId="0" borderId="40" xfId="0" applyNumberFormat="1" applyFont="1" applyBorder="1" applyAlignment="1">
      <alignment horizontal="right" vertical="center" wrapText="1"/>
    </xf>
    <xf numFmtId="3" fontId="63" fillId="0" borderId="13" xfId="3" applyNumberFormat="1" applyFont="1" applyFill="1" applyBorder="1" applyAlignment="1">
      <alignment horizontal="right" vertical="center" wrapText="1"/>
    </xf>
    <xf numFmtId="3" fontId="64" fillId="0" borderId="13" xfId="3" applyNumberFormat="1" applyFont="1" applyFill="1" applyBorder="1" applyAlignment="1">
      <alignment horizontal="right" vertical="center" wrapText="1"/>
    </xf>
    <xf numFmtId="3" fontId="57" fillId="0" borderId="13" xfId="3" applyNumberFormat="1" applyFont="1" applyFill="1" applyBorder="1" applyAlignment="1">
      <alignment horizontal="right" vertical="center" wrapText="1"/>
    </xf>
    <xf numFmtId="3" fontId="24" fillId="0" borderId="13" xfId="3" applyNumberFormat="1" applyFont="1" applyFill="1" applyBorder="1" applyAlignment="1">
      <alignment horizontal="right" vertical="center" wrapText="1"/>
    </xf>
    <xf numFmtId="0" fontId="38" fillId="12" borderId="77" xfId="2" applyFont="1" applyFill="1" applyBorder="1" applyAlignment="1">
      <alignment vertical="center" wrapText="1"/>
    </xf>
    <xf numFmtId="0" fontId="38" fillId="12" borderId="24" xfId="2" applyFont="1" applyFill="1" applyBorder="1" applyAlignment="1">
      <alignment vertical="center" wrapText="1"/>
    </xf>
    <xf numFmtId="167" fontId="17" fillId="0" borderId="22" xfId="2" applyNumberFormat="1" applyFont="1" applyBorder="1" applyAlignment="1">
      <alignment horizontal="center" vertical="center" wrapText="1"/>
    </xf>
    <xf numFmtId="0" fontId="47" fillId="12" borderId="22" xfId="2" applyFont="1" applyFill="1" applyBorder="1" applyAlignment="1">
      <alignment horizontal="center" vertical="center" wrapText="1"/>
    </xf>
    <xf numFmtId="0" fontId="18" fillId="0" borderId="78" xfId="0" applyFont="1" applyBorder="1" applyAlignment="1">
      <alignment vertical="center"/>
    </xf>
    <xf numFmtId="3" fontId="67" fillId="0" borderId="13" xfId="3" applyNumberFormat="1" applyFont="1" applyFill="1" applyBorder="1" applyAlignment="1">
      <alignment horizontal="right" vertical="center" wrapText="1"/>
    </xf>
    <xf numFmtId="0" fontId="69" fillId="6" borderId="0" xfId="0" applyFont="1" applyFill="1" applyAlignment="1">
      <alignment horizontal="right"/>
    </xf>
    <xf numFmtId="10" fontId="13" fillId="0" borderId="13" xfId="1" applyNumberFormat="1" applyFont="1" applyFill="1" applyBorder="1" applyAlignment="1">
      <alignment horizontal="center" vertical="center" wrapText="1"/>
    </xf>
    <xf numFmtId="0" fontId="17" fillId="12" borderId="23" xfId="2" applyFont="1" applyFill="1" applyBorder="1" applyAlignment="1">
      <alignment vertical="center" wrapText="1"/>
    </xf>
    <xf numFmtId="0" fontId="17" fillId="12" borderId="24" xfId="2" applyFont="1" applyFill="1" applyBorder="1" applyAlignment="1">
      <alignment vertical="center" wrapText="1"/>
    </xf>
    <xf numFmtId="0" fontId="44" fillId="12" borderId="22" xfId="2" applyFont="1" applyFill="1" applyBorder="1" applyAlignment="1">
      <alignment horizontal="right" vertical="center" wrapText="1"/>
    </xf>
    <xf numFmtId="167" fontId="17" fillId="13" borderId="22" xfId="2" applyNumberFormat="1" applyFont="1" applyFill="1" applyBorder="1" applyAlignment="1">
      <alignment horizontal="center" vertical="center" wrapText="1"/>
    </xf>
    <xf numFmtId="0" fontId="17" fillId="12" borderId="28" xfId="2" applyFont="1" applyFill="1" applyBorder="1" applyAlignment="1">
      <alignment horizontal="center" vertical="center" wrapText="1"/>
    </xf>
    <xf numFmtId="10" fontId="0" fillId="0" borderId="0" xfId="0" applyNumberFormat="1"/>
    <xf numFmtId="0" fontId="59" fillId="0" borderId="0" xfId="0" applyFont="1" applyAlignment="1">
      <alignment vertical="center" wrapText="1"/>
    </xf>
    <xf numFmtId="0" fontId="71" fillId="0" borderId="78" xfId="0" applyFont="1" applyBorder="1" applyAlignment="1">
      <alignment horizontal="center" vertical="center"/>
    </xf>
    <xf numFmtId="0" fontId="72" fillId="0" borderId="0" xfId="0" applyFont="1" applyAlignment="1">
      <alignment vertical="center"/>
    </xf>
    <xf numFmtId="0" fontId="38" fillId="5" borderId="2" xfId="2" applyFont="1" applyFill="1" applyBorder="1" applyAlignment="1">
      <alignment horizontal="center" vertical="center" wrapText="1"/>
    </xf>
    <xf numFmtId="0" fontId="73" fillId="0" borderId="0" xfId="0" applyFont="1" applyAlignment="1">
      <alignment horizontal="left" vertical="center"/>
    </xf>
    <xf numFmtId="0" fontId="19" fillId="0" borderId="0" xfId="0" applyFont="1" applyAlignment="1">
      <alignment horizontal="left" vertical="center"/>
    </xf>
    <xf numFmtId="0" fontId="28" fillId="7" borderId="27" xfId="2" applyFont="1" applyFill="1" applyBorder="1" applyAlignment="1">
      <alignment horizontal="center" vertical="center" wrapText="1"/>
    </xf>
    <xf numFmtId="14" fontId="18" fillId="0" borderId="0" xfId="0" applyNumberFormat="1" applyFont="1" applyAlignment="1">
      <alignment vertical="center"/>
    </xf>
    <xf numFmtId="169" fontId="19" fillId="0" borderId="0" xfId="0" applyNumberFormat="1" applyFont="1" applyAlignment="1">
      <alignment vertical="center"/>
    </xf>
    <xf numFmtId="164" fontId="18" fillId="0" borderId="0" xfId="0" applyNumberFormat="1" applyFont="1" applyAlignment="1">
      <alignment vertical="center"/>
    </xf>
    <xf numFmtId="0" fontId="17" fillId="0" borderId="0" xfId="0" applyFont="1" applyAlignment="1">
      <alignment wrapText="1"/>
    </xf>
    <xf numFmtId="0" fontId="17" fillId="0" borderId="0" xfId="0" applyFont="1" applyAlignment="1">
      <alignment vertical="center"/>
    </xf>
    <xf numFmtId="164" fontId="17" fillId="0" borderId="0" xfId="3" applyFont="1"/>
    <xf numFmtId="170" fontId="17" fillId="15" borderId="0" xfId="3" applyNumberFormat="1" applyFont="1" applyFill="1" applyBorder="1" applyAlignment="1">
      <alignment vertical="center"/>
    </xf>
    <xf numFmtId="170" fontId="38" fillId="0" borderId="0" xfId="3" applyNumberFormat="1" applyFont="1" applyBorder="1" applyAlignment="1">
      <alignment vertical="center"/>
    </xf>
    <xf numFmtId="0" fontId="70" fillId="0" borderId="0" xfId="0" applyFont="1" applyAlignment="1">
      <alignment vertical="center"/>
    </xf>
    <xf numFmtId="3" fontId="58" fillId="0" borderId="40" xfId="3" applyNumberFormat="1" applyFont="1" applyFill="1" applyBorder="1" applyAlignment="1">
      <alignment horizontal="right" vertical="center" wrapText="1"/>
    </xf>
    <xf numFmtId="0" fontId="78" fillId="0" borderId="0" xfId="0" applyFont="1"/>
    <xf numFmtId="0" fontId="76" fillId="0" borderId="0" xfId="0" applyFont="1" applyAlignment="1">
      <alignment wrapText="1"/>
    </xf>
    <xf numFmtId="0" fontId="79" fillId="6" borderId="43" xfId="0" applyFont="1" applyFill="1" applyBorder="1" applyAlignment="1">
      <alignment horizontal="center" vertical="center" wrapText="1"/>
    </xf>
    <xf numFmtId="10" fontId="56" fillId="0" borderId="13" xfId="3" applyNumberFormat="1" applyFont="1" applyFill="1" applyBorder="1" applyAlignment="1">
      <alignment horizontal="right" vertical="center" wrapText="1"/>
    </xf>
    <xf numFmtId="165" fontId="58" fillId="0" borderId="13" xfId="1" applyNumberFormat="1" applyFont="1" applyBorder="1" applyAlignment="1">
      <alignment horizontal="right" vertical="center" wrapText="1"/>
    </xf>
    <xf numFmtId="0" fontId="80" fillId="0" borderId="0" xfId="0" applyFont="1"/>
    <xf numFmtId="3" fontId="56" fillId="0" borderId="13" xfId="3" applyNumberFormat="1" applyFont="1" applyFill="1" applyBorder="1" applyAlignment="1">
      <alignment horizontal="right" vertical="center" wrapText="1"/>
    </xf>
    <xf numFmtId="3" fontId="56" fillId="14" borderId="13" xfId="3" applyNumberFormat="1" applyFont="1" applyFill="1" applyBorder="1" applyAlignment="1">
      <alignment horizontal="right" vertical="center" wrapText="1"/>
    </xf>
    <xf numFmtId="3" fontId="79" fillId="14" borderId="13" xfId="3" applyNumberFormat="1" applyFont="1" applyFill="1" applyBorder="1" applyAlignment="1">
      <alignment horizontal="right" vertical="center" wrapText="1"/>
    </xf>
    <xf numFmtId="10" fontId="81" fillId="0" borderId="13" xfId="3" applyNumberFormat="1" applyFont="1" applyFill="1" applyBorder="1" applyAlignment="1">
      <alignment horizontal="right" vertical="center" wrapText="1"/>
    </xf>
    <xf numFmtId="165" fontId="81" fillId="0" borderId="13" xfId="3" applyNumberFormat="1" applyFont="1" applyFill="1" applyBorder="1" applyAlignment="1">
      <alignment horizontal="right" vertical="center" wrapText="1"/>
    </xf>
    <xf numFmtId="3" fontId="82" fillId="0" borderId="13" xfId="3" applyNumberFormat="1" applyFont="1" applyFill="1" applyBorder="1" applyAlignment="1">
      <alignment horizontal="right" vertical="center" wrapText="1"/>
    </xf>
    <xf numFmtId="3" fontId="80" fillId="0" borderId="0" xfId="0" applyNumberFormat="1" applyFont="1"/>
    <xf numFmtId="0" fontId="0" fillId="0" borderId="39" xfId="0" applyBorder="1" applyAlignment="1">
      <alignment vertical="center"/>
    </xf>
    <xf numFmtId="0" fontId="0" fillId="0" borderId="0" xfId="0" applyAlignment="1">
      <alignment vertical="center"/>
    </xf>
    <xf numFmtId="0" fontId="6" fillId="8" borderId="4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horizontal="left" vertical="center"/>
    </xf>
    <xf numFmtId="11" fontId="17" fillId="0" borderId="0" xfId="0" applyNumberFormat="1" applyFont="1"/>
    <xf numFmtId="0" fontId="4" fillId="8" borderId="83" xfId="0" applyFont="1" applyFill="1" applyBorder="1" applyAlignment="1">
      <alignment horizontal="center" vertical="center" wrapText="1"/>
    </xf>
    <xf numFmtId="0" fontId="4" fillId="8" borderId="82" xfId="0" applyFont="1" applyFill="1" applyBorder="1" applyAlignment="1">
      <alignment horizontal="center" vertical="center" wrapText="1"/>
    </xf>
    <xf numFmtId="0" fontId="0" fillId="0" borderId="85" xfId="0" applyBorder="1"/>
    <xf numFmtId="4" fontId="5" fillId="10" borderId="11" xfId="0" applyNumberFormat="1" applyFont="1" applyFill="1" applyBorder="1" applyAlignment="1">
      <alignment horizontal="center" vertical="center" wrapText="1"/>
    </xf>
    <xf numFmtId="4" fontId="5" fillId="10" borderId="5"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0" fillId="0" borderId="81" xfId="0" applyBorder="1"/>
    <xf numFmtId="0" fontId="4" fillId="8" borderId="87" xfId="0" applyFont="1" applyFill="1" applyBorder="1" applyAlignment="1">
      <alignment horizontal="center" vertical="center" wrapText="1"/>
    </xf>
    <xf numFmtId="4" fontId="5" fillId="0" borderId="94" xfId="0" applyNumberFormat="1" applyFont="1" applyBorder="1" applyAlignment="1">
      <alignment horizontal="center" vertical="center" wrapText="1"/>
    </xf>
    <xf numFmtId="4" fontId="5" fillId="0" borderId="95" xfId="0" applyNumberFormat="1"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70" fillId="0" borderId="10" xfId="0" applyFont="1" applyBorder="1" applyAlignment="1">
      <alignment vertical="center"/>
    </xf>
    <xf numFmtId="0" fontId="74" fillId="0" borderId="10" xfId="0" applyFont="1" applyBorder="1" applyAlignment="1">
      <alignment horizontal="left" vertical="center"/>
    </xf>
    <xf numFmtId="0" fontId="17" fillId="0" borderId="3" xfId="0" applyFont="1" applyBorder="1"/>
    <xf numFmtId="0" fontId="17" fillId="0" borderId="3" xfId="0" applyFont="1" applyBorder="1" applyAlignment="1">
      <alignment horizontal="left" vertical="center"/>
    </xf>
    <xf numFmtId="170" fontId="17" fillId="15" borderId="10" xfId="3" applyNumberFormat="1" applyFont="1" applyFill="1" applyBorder="1" applyAlignment="1">
      <alignment vertical="center"/>
    </xf>
    <xf numFmtId="170" fontId="38" fillId="0" borderId="10" xfId="3" applyNumberFormat="1" applyFont="1" applyBorder="1" applyAlignment="1">
      <alignment vertical="center"/>
    </xf>
    <xf numFmtId="164" fontId="18" fillId="0" borderId="4" xfId="3" applyFont="1" applyFill="1" applyBorder="1" applyAlignment="1">
      <alignment vertical="center" wrapText="1"/>
    </xf>
    <xf numFmtId="0" fontId="17" fillId="0" borderId="10" xfId="0" applyFont="1" applyBorder="1" applyAlignment="1">
      <alignment horizontal="center" vertical="center" wrapText="1"/>
    </xf>
    <xf numFmtId="164" fontId="18" fillId="0" borderId="10" xfId="3" applyFont="1" applyFill="1" applyBorder="1" applyAlignment="1">
      <alignment vertical="center" wrapText="1"/>
    </xf>
    <xf numFmtId="0" fontId="17" fillId="0" borderId="9" xfId="0" applyFont="1" applyBorder="1" applyAlignment="1">
      <alignment horizontal="center" vertical="center" wrapText="1"/>
    </xf>
    <xf numFmtId="170" fontId="17" fillId="15" borderId="4" xfId="3" applyNumberFormat="1" applyFont="1" applyFill="1" applyBorder="1" applyAlignment="1">
      <alignment vertical="center"/>
    </xf>
    <xf numFmtId="170" fontId="38" fillId="0" borderId="4" xfId="3" applyNumberFormat="1" applyFont="1" applyBorder="1" applyAlignment="1">
      <alignment vertical="center"/>
    </xf>
    <xf numFmtId="164" fontId="75" fillId="8" borderId="102" xfId="3" applyFont="1" applyFill="1" applyBorder="1" applyAlignment="1">
      <alignment vertical="center" wrapText="1"/>
    </xf>
    <xf numFmtId="164" fontId="75" fillId="8" borderId="103" xfId="3" applyFont="1" applyFill="1" applyBorder="1" applyAlignment="1">
      <alignment vertical="center" wrapText="1"/>
    </xf>
    <xf numFmtId="0" fontId="0" fillId="0" borderId="9" xfId="0" applyBorder="1"/>
    <xf numFmtId="2" fontId="5" fillId="10" borderId="105" xfId="0" applyNumberFormat="1" applyFont="1" applyFill="1" applyBorder="1" applyAlignment="1">
      <alignment horizontal="center" vertical="center" wrapText="1"/>
    </xf>
    <xf numFmtId="0" fontId="0" fillId="0" borderId="99" xfId="0" applyBorder="1"/>
    <xf numFmtId="2" fontId="5" fillId="0" borderId="106" xfId="0" applyNumberFormat="1" applyFont="1" applyBorder="1" applyAlignment="1">
      <alignment horizontal="center" vertical="center" wrapText="1"/>
    </xf>
    <xf numFmtId="0" fontId="0" fillId="0" borderId="107" xfId="0" applyBorder="1"/>
    <xf numFmtId="2" fontId="5" fillId="10" borderId="104" xfId="0" applyNumberFormat="1" applyFont="1" applyFill="1" applyBorder="1" applyAlignment="1">
      <alignment horizontal="center" vertical="center" wrapText="1"/>
    </xf>
    <xf numFmtId="0" fontId="0" fillId="0" borderId="1" xfId="0" applyBorder="1"/>
    <xf numFmtId="0" fontId="0" fillId="0" borderId="7" xfId="0" applyBorder="1"/>
    <xf numFmtId="2" fontId="0" fillId="0" borderId="99" xfId="0" applyNumberFormat="1" applyBorder="1"/>
    <xf numFmtId="0" fontId="7" fillId="0" borderId="40" xfId="0" applyFont="1" applyBorder="1" applyAlignment="1">
      <alignment horizontal="left" vertical="center" wrapText="1"/>
    </xf>
    <xf numFmtId="164" fontId="71" fillId="20" borderId="117" xfId="3" applyFont="1" applyFill="1" applyBorder="1" applyAlignment="1">
      <alignment vertical="center" wrapText="1"/>
    </xf>
    <xf numFmtId="0" fontId="17" fillId="6" borderId="10" xfId="0" applyFont="1" applyFill="1" applyBorder="1" applyAlignment="1">
      <alignment horizontal="right" vertical="center" wrapText="1"/>
    </xf>
    <xf numFmtId="0" fontId="17" fillId="6" borderId="0" xfId="0" applyFont="1" applyFill="1" applyAlignment="1">
      <alignment horizontal="right" vertical="center" wrapText="1"/>
    </xf>
    <xf numFmtId="0" fontId="17" fillId="6" borderId="4" xfId="0" applyFont="1" applyFill="1" applyBorder="1" applyAlignment="1">
      <alignment horizontal="right" vertical="center" wrapText="1"/>
    </xf>
    <xf numFmtId="0" fontId="17" fillId="6" borderId="0" xfId="0" applyFont="1" applyFill="1" applyAlignment="1">
      <alignment horizontal="right" vertical="center"/>
    </xf>
    <xf numFmtId="167" fontId="5" fillId="0" borderId="13" xfId="3" applyNumberFormat="1" applyFont="1" applyFill="1" applyBorder="1" applyAlignment="1">
      <alignment horizontal="right" vertical="center" wrapText="1"/>
    </xf>
    <xf numFmtId="167" fontId="18" fillId="0" borderId="0" xfId="0" applyNumberFormat="1" applyFont="1" applyAlignment="1">
      <alignment vertical="center"/>
    </xf>
    <xf numFmtId="3" fontId="59" fillId="0" borderId="13" xfId="3" applyNumberFormat="1" applyFont="1" applyFill="1" applyBorder="1" applyAlignment="1">
      <alignment horizontal="center" vertical="center" wrapText="1"/>
    </xf>
    <xf numFmtId="0" fontId="1" fillId="0" borderId="58" xfId="2" applyFont="1" applyBorder="1" applyAlignment="1">
      <alignment horizontal="center" vertical="center" wrapText="1"/>
    </xf>
    <xf numFmtId="2" fontId="1" fillId="0" borderId="56" xfId="2" applyNumberFormat="1" applyFont="1" applyBorder="1" applyAlignment="1">
      <alignment horizontal="center" vertical="center" wrapText="1"/>
    </xf>
    <xf numFmtId="2" fontId="42" fillId="14" borderId="41" xfId="1" applyNumberFormat="1" applyFont="1" applyFill="1" applyBorder="1" applyAlignment="1">
      <alignment horizontal="center" vertical="center" wrapText="1"/>
    </xf>
    <xf numFmtId="10" fontId="1" fillId="14" borderId="13" xfId="1" applyNumberFormat="1" applyFont="1" applyFill="1" applyBorder="1" applyAlignment="1">
      <alignment horizontal="center" vertical="center" wrapText="1"/>
    </xf>
    <xf numFmtId="167" fontId="5" fillId="14" borderId="13" xfId="3" applyNumberFormat="1" applyFont="1" applyFill="1" applyBorder="1" applyAlignment="1">
      <alignment horizontal="right" vertical="center" wrapText="1"/>
    </xf>
    <xf numFmtId="10" fontId="8" fillId="14" borderId="13" xfId="1" applyNumberFormat="1" applyFont="1" applyFill="1" applyBorder="1" applyAlignment="1">
      <alignment horizontal="center" vertical="center" wrapText="1"/>
    </xf>
    <xf numFmtId="2" fontId="30" fillId="14" borderId="41" xfId="1" applyNumberFormat="1" applyFont="1" applyFill="1" applyBorder="1" applyAlignment="1">
      <alignment horizontal="center" vertical="center" wrapText="1"/>
    </xf>
    <xf numFmtId="172" fontId="0" fillId="0" borderId="0" xfId="0" applyNumberFormat="1"/>
    <xf numFmtId="0" fontId="76" fillId="0" borderId="0" xfId="0" applyFont="1"/>
    <xf numFmtId="3" fontId="67" fillId="0" borderId="13" xfId="1" applyNumberFormat="1" applyFont="1" applyFill="1" applyBorder="1" applyAlignment="1">
      <alignment horizontal="center" vertical="center" wrapText="1"/>
    </xf>
    <xf numFmtId="2" fontId="18" fillId="0" borderId="0" xfId="0" applyNumberFormat="1" applyFont="1" applyAlignment="1">
      <alignment vertical="center"/>
    </xf>
    <xf numFmtId="166" fontId="34" fillId="0" borderId="13" xfId="1" applyNumberFormat="1" applyFont="1" applyBorder="1" applyAlignment="1">
      <alignment horizontal="right" vertical="center" wrapText="1"/>
    </xf>
    <xf numFmtId="0" fontId="73" fillId="0" borderId="0" xfId="0" applyFont="1" applyAlignment="1">
      <alignment vertical="center"/>
    </xf>
    <xf numFmtId="0" fontId="1" fillId="0" borderId="14" xfId="2" applyFont="1" applyBorder="1" applyAlignment="1">
      <alignment horizontal="center" vertical="center" wrapText="1"/>
    </xf>
    <xf numFmtId="0" fontId="1" fillId="0" borderId="40" xfId="0" applyFont="1" applyBorder="1" applyAlignment="1">
      <alignment horizontal="left" vertical="center" wrapText="1"/>
    </xf>
    <xf numFmtId="0" fontId="1" fillId="0" borderId="40" xfId="0" applyFont="1" applyBorder="1" applyAlignment="1">
      <alignment horizontal="right" vertical="center" wrapText="1"/>
    </xf>
    <xf numFmtId="3" fontId="1" fillId="0" borderId="40" xfId="0" applyNumberFormat="1" applyFont="1" applyBorder="1" applyAlignment="1">
      <alignment horizontal="right" vertical="center" wrapText="1"/>
    </xf>
    <xf numFmtId="0" fontId="1" fillId="14" borderId="40" xfId="0" applyFont="1" applyFill="1" applyBorder="1" applyAlignment="1">
      <alignment horizontal="left" vertical="center" wrapText="1"/>
    </xf>
    <xf numFmtId="3" fontId="1" fillId="14" borderId="40" xfId="0" applyNumberFormat="1" applyFont="1" applyFill="1" applyBorder="1" applyAlignment="1">
      <alignment horizontal="right" vertical="center" wrapText="1"/>
    </xf>
    <xf numFmtId="0" fontId="1" fillId="0" borderId="66" xfId="2" applyFont="1" applyBorder="1" applyAlignment="1">
      <alignment horizontal="center" vertical="center" wrapText="1"/>
    </xf>
    <xf numFmtId="2" fontId="1" fillId="0" borderId="66" xfId="2" applyNumberFormat="1" applyFont="1" applyBorder="1" applyAlignment="1">
      <alignment horizontal="center" vertical="center" wrapText="1"/>
    </xf>
    <xf numFmtId="0" fontId="1" fillId="0" borderId="45"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52" xfId="2" applyFont="1" applyBorder="1" applyAlignment="1">
      <alignment horizontal="center" vertical="center" wrapText="1"/>
    </xf>
    <xf numFmtId="0" fontId="1" fillId="0" borderId="53" xfId="2" applyFont="1" applyBorder="1" applyAlignment="1">
      <alignment horizontal="center" vertical="center" wrapText="1"/>
    </xf>
    <xf numFmtId="0" fontId="1" fillId="0" borderId="59" xfId="2" applyFont="1" applyBorder="1" applyAlignment="1">
      <alignment horizontal="center" vertical="center" wrapText="1"/>
    </xf>
    <xf numFmtId="0" fontId="1" fillId="0" borderId="54" xfId="2" applyFont="1" applyBorder="1" applyAlignment="1">
      <alignment horizontal="center" vertical="center" wrapText="1"/>
    </xf>
    <xf numFmtId="0" fontId="1" fillId="0" borderId="60" xfId="2" applyFont="1" applyBorder="1" applyAlignment="1">
      <alignment horizontal="center" vertical="center" wrapText="1"/>
    </xf>
    <xf numFmtId="2" fontId="1" fillId="0" borderId="55" xfId="2" applyNumberFormat="1" applyFont="1" applyBorder="1" applyAlignment="1">
      <alignment horizontal="center" vertical="center" wrapText="1"/>
    </xf>
    <xf numFmtId="2" fontId="1" fillId="0" borderId="57" xfId="2" applyNumberFormat="1" applyFont="1" applyBorder="1" applyAlignment="1">
      <alignment horizontal="center" vertical="center" wrapText="1"/>
    </xf>
    <xf numFmtId="0" fontId="1" fillId="0" borderId="10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2" fontId="1" fillId="10" borderId="104" xfId="0" applyNumberFormat="1" applyFont="1" applyFill="1" applyBorder="1" applyAlignment="1">
      <alignment horizontal="center" vertical="center" wrapText="1"/>
    </xf>
    <xf numFmtId="2" fontId="1" fillId="0" borderId="5" xfId="0" applyNumberFormat="1" applyFont="1" applyBorder="1" applyAlignment="1">
      <alignment horizontal="center" vertical="center" wrapText="1"/>
    </xf>
    <xf numFmtId="2" fontId="1" fillId="10" borderId="11" xfId="0" applyNumberFormat="1" applyFont="1" applyFill="1" applyBorder="1" applyAlignment="1">
      <alignment horizontal="center" vertical="center" wrapText="1"/>
    </xf>
    <xf numFmtId="2" fontId="1" fillId="10"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2" fontId="1" fillId="10" borderId="6" xfId="0" applyNumberFormat="1" applyFont="1" applyFill="1" applyBorder="1" applyAlignment="1">
      <alignment horizontal="center" vertical="center" wrapText="1"/>
    </xf>
    <xf numFmtId="0" fontId="1" fillId="0" borderId="99" xfId="0" applyFont="1" applyBorder="1" applyAlignment="1">
      <alignment horizontal="center" vertical="center" wrapText="1"/>
    </xf>
    <xf numFmtId="2" fontId="1" fillId="15" borderId="11" xfId="0" applyNumberFormat="1" applyFont="1" applyFill="1" applyBorder="1" applyAlignment="1">
      <alignment horizontal="center" vertical="center" wrapText="1"/>
    </xf>
    <xf numFmtId="2" fontId="1" fillId="0" borderId="11" xfId="0" applyNumberFormat="1" applyFont="1" applyBorder="1" applyAlignment="1">
      <alignment horizontal="center" vertical="center" wrapText="1"/>
    </xf>
    <xf numFmtId="166" fontId="1" fillId="15" borderId="104" xfId="0" applyNumberFormat="1" applyFont="1" applyFill="1" applyBorder="1" applyAlignment="1">
      <alignment horizontal="center" vertical="center" wrapText="1"/>
    </xf>
    <xf numFmtId="166" fontId="1" fillId="15" borderId="11" xfId="0" applyNumberFormat="1" applyFont="1" applyFill="1" applyBorder="1" applyAlignment="1">
      <alignment horizontal="center" vertical="center" wrapText="1"/>
    </xf>
    <xf numFmtId="166" fontId="1" fillId="0" borderId="11"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2" fontId="1" fillId="15" borderId="104" xfId="0" applyNumberFormat="1" applyFont="1" applyFill="1" applyBorder="1" applyAlignment="1">
      <alignment horizontal="center" vertical="center" wrapText="1"/>
    </xf>
    <xf numFmtId="2" fontId="1" fillId="15" borderId="5" xfId="0" applyNumberFormat="1" applyFont="1" applyFill="1" applyBorder="1" applyAlignment="1">
      <alignment horizontal="center" vertical="center" wrapText="1"/>
    </xf>
    <xf numFmtId="2" fontId="1" fillId="15" borderId="8" xfId="0" applyNumberFormat="1" applyFont="1" applyFill="1" applyBorder="1" applyAlignment="1">
      <alignment horizontal="center" vertical="center" wrapText="1"/>
    </xf>
    <xf numFmtId="2" fontId="84" fillId="4" borderId="56" xfId="2" applyNumberFormat="1" applyFont="1" applyFill="1" applyBorder="1" applyAlignment="1">
      <alignment horizontal="center" vertical="center" wrapText="1"/>
    </xf>
    <xf numFmtId="2" fontId="84" fillId="4" borderId="119" xfId="2" applyNumberFormat="1" applyFont="1" applyFill="1" applyBorder="1" applyAlignment="1">
      <alignment horizontal="center" vertical="center" wrapText="1"/>
    </xf>
    <xf numFmtId="2" fontId="84" fillId="4" borderId="60" xfId="2" applyNumberFormat="1" applyFont="1" applyFill="1" applyBorder="1" applyAlignment="1">
      <alignment horizontal="center" vertical="center" wrapText="1"/>
    </xf>
    <xf numFmtId="2" fontId="42" fillId="0" borderId="41" xfId="1" applyNumberFormat="1" applyFont="1" applyFill="1" applyBorder="1" applyAlignment="1">
      <alignment horizontal="center" vertical="center" wrapText="1"/>
    </xf>
    <xf numFmtId="10" fontId="1" fillId="0" borderId="13" xfId="1" applyNumberFormat="1" applyFont="1" applyFill="1" applyBorder="1" applyAlignment="1">
      <alignment horizontal="center" vertical="center" wrapText="1"/>
    </xf>
    <xf numFmtId="2" fontId="84" fillId="4" borderId="120" xfId="2" applyNumberFormat="1" applyFont="1" applyFill="1" applyBorder="1" applyAlignment="1">
      <alignment horizontal="center" vertical="center" wrapText="1"/>
    </xf>
    <xf numFmtId="2" fontId="84" fillId="4" borderId="12" xfId="2" applyNumberFormat="1" applyFont="1" applyFill="1" applyBorder="1" applyAlignment="1">
      <alignment horizontal="center" vertical="center" wrapText="1"/>
    </xf>
    <xf numFmtId="170" fontId="17" fillId="15" borderId="101" xfId="3" applyNumberFormat="1" applyFont="1" applyFill="1" applyBorder="1" applyAlignment="1">
      <alignment vertical="center"/>
    </xf>
    <xf numFmtId="170" fontId="17" fillId="15" borderId="3" xfId="3" applyNumberFormat="1" applyFont="1" applyFill="1" applyBorder="1" applyAlignment="1">
      <alignment vertical="center"/>
    </xf>
    <xf numFmtId="0" fontId="17" fillId="0" borderId="101" xfId="0" applyFont="1" applyBorder="1"/>
    <xf numFmtId="0" fontId="17" fillId="0" borderId="96" xfId="0" applyFont="1" applyBorder="1"/>
    <xf numFmtId="164" fontId="75" fillId="8" borderId="118" xfId="3" applyFont="1" applyFill="1" applyBorder="1" applyAlignment="1">
      <alignment vertical="center" wrapText="1"/>
    </xf>
    <xf numFmtId="0" fontId="17" fillId="0" borderId="9" xfId="0" applyFont="1" applyBorder="1"/>
    <xf numFmtId="171" fontId="17" fillId="15" borderId="0" xfId="3" applyNumberFormat="1" applyFont="1" applyFill="1" applyBorder="1" applyAlignment="1">
      <alignment vertical="center"/>
    </xf>
    <xf numFmtId="170" fontId="17" fillId="15" borderId="121" xfId="3" applyNumberFormat="1" applyFont="1" applyFill="1" applyBorder="1" applyAlignment="1">
      <alignment vertical="center"/>
    </xf>
    <xf numFmtId="170" fontId="17" fillId="15" borderId="116" xfId="3" applyNumberFormat="1" applyFont="1" applyFill="1" applyBorder="1" applyAlignment="1">
      <alignment vertical="center"/>
    </xf>
    <xf numFmtId="170" fontId="17" fillId="15" borderId="122" xfId="3" applyNumberFormat="1" applyFont="1" applyFill="1" applyBorder="1" applyAlignment="1">
      <alignment vertical="center"/>
    </xf>
    <xf numFmtId="170" fontId="17" fillId="15" borderId="96" xfId="3" applyNumberFormat="1" applyFont="1" applyFill="1" applyBorder="1" applyAlignment="1">
      <alignment vertical="center"/>
    </xf>
    <xf numFmtId="170" fontId="17" fillId="15" borderId="9" xfId="3" applyNumberFormat="1" applyFont="1" applyFill="1" applyBorder="1" applyAlignment="1">
      <alignment vertical="center"/>
    </xf>
    <xf numFmtId="170" fontId="17" fillId="15" borderId="100" xfId="3" applyNumberFormat="1" applyFont="1" applyFill="1" applyBorder="1" applyAlignment="1">
      <alignment vertical="center"/>
    </xf>
    <xf numFmtId="170" fontId="17" fillId="15" borderId="6" xfId="3" applyNumberFormat="1" applyFont="1" applyFill="1" applyBorder="1" applyAlignment="1">
      <alignment vertical="center"/>
    </xf>
    <xf numFmtId="0" fontId="22" fillId="0" borderId="0" xfId="0" applyFont="1" applyAlignment="1">
      <alignment vertical="center"/>
    </xf>
    <xf numFmtId="0" fontId="85" fillId="0" borderId="0" xfId="0" applyFont="1" applyAlignment="1">
      <alignment vertical="center"/>
    </xf>
    <xf numFmtId="0" fontId="86" fillId="0" borderId="0" xfId="0" applyFont="1" applyAlignment="1">
      <alignment horizontal="left" vertical="center"/>
    </xf>
    <xf numFmtId="167" fontId="40" fillId="0" borderId="0" xfId="0" applyNumberFormat="1" applyFont="1" applyAlignment="1">
      <alignment vertical="center"/>
    </xf>
    <xf numFmtId="0" fontId="0" fillId="0" borderId="0" xfId="0" applyAlignment="1">
      <alignment horizontal="center"/>
    </xf>
    <xf numFmtId="0" fontId="1" fillId="0" borderId="50" xfId="0" applyFont="1" applyBorder="1" applyAlignment="1">
      <alignment horizontal="center" vertical="center" wrapText="1"/>
    </xf>
    <xf numFmtId="0" fontId="52" fillId="6" borderId="0" xfId="0" applyFont="1" applyFill="1" applyAlignment="1">
      <alignment horizontal="center" textRotation="90"/>
    </xf>
    <xf numFmtId="0" fontId="52" fillId="6" borderId="0" xfId="0" applyFont="1" applyFill="1" applyAlignment="1">
      <alignment horizontal="center" vertical="center" textRotation="90"/>
    </xf>
    <xf numFmtId="3" fontId="59" fillId="0" borderId="124" xfId="3" applyNumberFormat="1" applyFont="1" applyFill="1" applyBorder="1" applyAlignment="1">
      <alignment horizontal="center" vertical="center" wrapText="1"/>
    </xf>
    <xf numFmtId="3" fontId="67" fillId="0" borderId="124" xfId="1" applyNumberFormat="1" applyFont="1" applyFill="1" applyBorder="1" applyAlignment="1">
      <alignment horizontal="center" vertical="center" wrapText="1"/>
    </xf>
    <xf numFmtId="0" fontId="7" fillId="0" borderId="123" xfId="0" applyFont="1" applyBorder="1" applyAlignment="1">
      <alignment horizontal="left" vertical="center" wrapText="1"/>
    </xf>
    <xf numFmtId="0" fontId="7" fillId="0" borderId="39" xfId="0" applyFont="1" applyBorder="1" applyAlignment="1">
      <alignment horizontal="left" vertical="center" wrapText="1"/>
    </xf>
    <xf numFmtId="0" fontId="28" fillId="7" borderId="26" xfId="2" applyFont="1" applyFill="1" applyBorder="1" applyAlignment="1">
      <alignment horizontal="center" vertical="center" wrapText="1"/>
    </xf>
    <xf numFmtId="0" fontId="17" fillId="0" borderId="4" xfId="0" applyFont="1" applyBorder="1"/>
    <xf numFmtId="0" fontId="1" fillId="0" borderId="0" xfId="0" applyFont="1" applyAlignment="1">
      <alignment horizontal="left" vertical="center"/>
    </xf>
    <xf numFmtId="0" fontId="17" fillId="0" borderId="22" xfId="2" applyFont="1" applyBorder="1" applyAlignment="1">
      <alignment horizontal="left" vertical="center" wrapText="1"/>
    </xf>
    <xf numFmtId="1" fontId="0" fillId="0" borderId="0" xfId="0" applyNumberFormat="1"/>
    <xf numFmtId="1" fontId="58" fillId="0" borderId="13" xfId="3" applyNumberFormat="1" applyFont="1" applyFill="1" applyBorder="1" applyAlignment="1">
      <alignment horizontal="right" vertical="center" wrapText="1"/>
    </xf>
    <xf numFmtId="1" fontId="5" fillId="0" borderId="13" xfId="3" applyNumberFormat="1" applyFont="1" applyFill="1" applyBorder="1" applyAlignment="1">
      <alignment horizontal="right" vertical="center" wrapText="1"/>
    </xf>
    <xf numFmtId="1" fontId="56" fillId="0" borderId="13" xfId="3" applyNumberFormat="1" applyFont="1" applyFill="1" applyBorder="1" applyAlignment="1">
      <alignment horizontal="right" vertical="center" wrapText="1"/>
    </xf>
    <xf numFmtId="0" fontId="76" fillId="0" borderId="39" xfId="0" applyFont="1" applyBorder="1" applyAlignment="1">
      <alignment vertical="center" wrapText="1"/>
    </xf>
    <xf numFmtId="0" fontId="87" fillId="0" borderId="0" xfId="0" applyFont="1"/>
    <xf numFmtId="0" fontId="17" fillId="0" borderId="28" xfId="2" applyFont="1" applyBorder="1" applyAlignment="1">
      <alignment horizontal="left" vertical="center" wrapText="1"/>
    </xf>
    <xf numFmtId="3" fontId="89" fillId="0" borderId="13" xfId="3" applyNumberFormat="1" applyFont="1" applyFill="1" applyBorder="1" applyAlignment="1">
      <alignment horizontal="right" vertical="center" wrapText="1"/>
    </xf>
    <xf numFmtId="3" fontId="76" fillId="0" borderId="0" xfId="0" applyNumberFormat="1" applyFont="1"/>
    <xf numFmtId="0" fontId="76" fillId="0" borderId="0" xfId="0" applyFont="1" applyAlignment="1">
      <alignment horizontal="left" vertical="top"/>
    </xf>
    <xf numFmtId="0" fontId="32" fillId="19" borderId="75" xfId="2" applyFont="1" applyFill="1" applyBorder="1" applyAlignment="1">
      <alignment horizontal="center" vertical="center" textRotation="90" wrapText="1"/>
    </xf>
    <xf numFmtId="0" fontId="38" fillId="0" borderId="77" xfId="2" applyFont="1" applyBorder="1" applyAlignment="1">
      <alignment vertical="center" wrapText="1"/>
    </xf>
    <xf numFmtId="3" fontId="38" fillId="12" borderId="22" xfId="2" applyNumberFormat="1" applyFont="1" applyFill="1" applyBorder="1" applyAlignment="1">
      <alignment horizontal="center" vertical="center" wrapText="1"/>
    </xf>
    <xf numFmtId="1" fontId="90" fillId="0" borderId="0" xfId="0" applyNumberFormat="1" applyFont="1"/>
    <xf numFmtId="175" fontId="0" fillId="0" borderId="0" xfId="0" applyNumberFormat="1"/>
    <xf numFmtId="175" fontId="8" fillId="0" borderId="0" xfId="0" applyNumberFormat="1" applyFont="1" applyAlignment="1">
      <alignment vertical="center"/>
    </xf>
    <xf numFmtId="174" fontId="32" fillId="19" borderId="75" xfId="2" applyNumberFormat="1" applyFont="1" applyFill="1" applyBorder="1" applyAlignment="1">
      <alignment horizontal="center" vertical="center" textRotation="90" wrapText="1"/>
    </xf>
    <xf numFmtId="0" fontId="1" fillId="0" borderId="40" xfId="0" applyFont="1" applyBorder="1" applyAlignment="1">
      <alignment vertical="center"/>
    </xf>
    <xf numFmtId="3" fontId="68" fillId="0" borderId="80" xfId="0" applyNumberFormat="1" applyFont="1" applyBorder="1" applyAlignment="1">
      <alignment horizontal="right" vertical="center" wrapText="1"/>
    </xf>
    <xf numFmtId="3" fontId="67" fillId="0" borderId="80" xfId="3" applyNumberFormat="1" applyFont="1" applyFill="1" applyBorder="1" applyAlignment="1">
      <alignment horizontal="right" vertical="center" wrapText="1"/>
    </xf>
    <xf numFmtId="3" fontId="60" fillId="0" borderId="80" xfId="3" applyNumberFormat="1" applyFont="1" applyFill="1" applyBorder="1" applyAlignment="1">
      <alignment horizontal="right" vertical="center" wrapText="1"/>
    </xf>
    <xf numFmtId="3" fontId="58" fillId="0" borderId="80" xfId="3" applyNumberFormat="1" applyFont="1" applyFill="1" applyBorder="1" applyAlignment="1">
      <alignment horizontal="right" vertical="center" wrapText="1"/>
    </xf>
    <xf numFmtId="0" fontId="91" fillId="6" borderId="43" xfId="0" applyFont="1" applyFill="1" applyBorder="1" applyAlignment="1">
      <alignment horizontal="center" vertical="center" wrapText="1"/>
    </xf>
    <xf numFmtId="3" fontId="60" fillId="0" borderId="40" xfId="3" applyNumberFormat="1" applyFont="1" applyFill="1" applyBorder="1" applyAlignment="1">
      <alignment horizontal="right" vertical="center" wrapText="1"/>
    </xf>
    <xf numFmtId="3" fontId="5" fillId="0" borderId="0" xfId="3" applyNumberFormat="1" applyFont="1" applyFill="1" applyBorder="1" applyAlignment="1">
      <alignment horizontal="right" vertical="center" wrapText="1"/>
    </xf>
    <xf numFmtId="3" fontId="8" fillId="0" borderId="0" xfId="3" applyNumberFormat="1" applyFont="1" applyFill="1" applyBorder="1" applyAlignment="1">
      <alignment horizontal="right" vertical="center" wrapText="1"/>
    </xf>
    <xf numFmtId="167" fontId="48" fillId="0" borderId="0" xfId="0" applyNumberFormat="1" applyFont="1" applyAlignment="1">
      <alignment vertical="center"/>
    </xf>
    <xf numFmtId="167" fontId="44" fillId="12" borderId="0" xfId="2" applyNumberFormat="1" applyFont="1" applyFill="1" applyAlignment="1">
      <alignment horizontal="center" vertical="center" wrapText="1"/>
    </xf>
    <xf numFmtId="0" fontId="44" fillId="0" borderId="22" xfId="2" applyFont="1" applyBorder="1" applyAlignment="1">
      <alignment horizontal="left" vertical="center" wrapText="1"/>
    </xf>
    <xf numFmtId="167" fontId="44" fillId="0" borderId="22" xfId="2" applyNumberFormat="1" applyFont="1" applyBorder="1" applyAlignment="1">
      <alignment horizontal="center" vertical="center" wrapText="1"/>
    </xf>
    <xf numFmtId="0" fontId="7" fillId="0" borderId="129" xfId="2" applyFont="1" applyBorder="1" applyAlignment="1">
      <alignment horizontal="left" vertical="center" wrapText="1"/>
    </xf>
    <xf numFmtId="2" fontId="7" fillId="0" borderId="129" xfId="2" applyNumberFormat="1" applyFont="1" applyBorder="1" applyAlignment="1">
      <alignment horizontal="center" vertical="center" wrapText="1"/>
    </xf>
    <xf numFmtId="10" fontId="94" fillId="3" borderId="129" xfId="1" applyNumberFormat="1" applyFont="1" applyFill="1" applyBorder="1" applyAlignment="1">
      <alignment horizontal="center" vertical="center" wrapText="1"/>
    </xf>
    <xf numFmtId="10" fontId="94" fillId="4" borderId="129" xfId="1" applyNumberFormat="1" applyFont="1" applyFill="1" applyBorder="1" applyAlignment="1">
      <alignment horizontal="center" vertical="center" wrapText="1"/>
    </xf>
    <xf numFmtId="10" fontId="94" fillId="21" borderId="2" xfId="1" applyNumberFormat="1" applyFont="1" applyFill="1" applyBorder="1" applyAlignment="1">
      <alignment horizontal="center"/>
    </xf>
    <xf numFmtId="0" fontId="93" fillId="21" borderId="126" xfId="2" applyFont="1" applyFill="1" applyBorder="1" applyAlignment="1">
      <alignment horizontal="left" vertical="center" wrapText="1"/>
    </xf>
    <xf numFmtId="0" fontId="93" fillId="21" borderId="127" xfId="2" applyFont="1" applyFill="1" applyBorder="1" applyAlignment="1">
      <alignment horizontal="left" vertical="center" wrapText="1"/>
    </xf>
    <xf numFmtId="0" fontId="93" fillId="21" borderId="128" xfId="2" applyFont="1" applyFill="1" applyBorder="1" applyAlignment="1">
      <alignment horizontal="left" vertical="center" wrapText="1"/>
    </xf>
    <xf numFmtId="0" fontId="84" fillId="2" borderId="0" xfId="0" applyFont="1" applyFill="1" applyAlignment="1">
      <alignment vertical="center"/>
    </xf>
    <xf numFmtId="0" fontId="32" fillId="19" borderId="130" xfId="2" applyFont="1" applyFill="1" applyBorder="1" applyAlignment="1">
      <alignment horizontal="center" vertical="center" textRotation="90" wrapText="1"/>
    </xf>
    <xf numFmtId="0" fontId="1" fillId="0" borderId="22" xfId="2" applyFont="1" applyBorder="1" applyAlignment="1">
      <alignment horizontal="left" vertical="center" wrapText="1"/>
    </xf>
    <xf numFmtId="0" fontId="1" fillId="12" borderId="22" xfId="2" applyFont="1" applyFill="1" applyBorder="1" applyAlignment="1">
      <alignment horizontal="center" vertical="center" wrapText="1"/>
    </xf>
    <xf numFmtId="167" fontId="1" fillId="12" borderId="22" xfId="2" applyNumberFormat="1" applyFont="1" applyFill="1" applyBorder="1" applyAlignment="1">
      <alignment horizontal="center" vertical="center" wrapText="1"/>
    </xf>
    <xf numFmtId="0" fontId="23" fillId="12" borderId="22" xfId="2" applyFont="1" applyFill="1" applyBorder="1" applyAlignment="1">
      <alignment horizontal="center" vertical="center" wrapText="1"/>
    </xf>
    <xf numFmtId="0" fontId="1" fillId="12" borderId="22" xfId="2" applyFont="1" applyFill="1" applyBorder="1" applyAlignment="1">
      <alignment horizontal="left" vertical="center" wrapText="1"/>
    </xf>
    <xf numFmtId="167" fontId="1" fillId="0" borderId="22" xfId="2" applyNumberFormat="1" applyFont="1" applyBorder="1" applyAlignment="1">
      <alignment horizontal="center" vertical="center" wrapText="1"/>
    </xf>
    <xf numFmtId="0" fontId="1" fillId="0" borderId="22" xfId="2" applyFont="1" applyBorder="1" applyAlignment="1">
      <alignment horizontal="center" vertical="center" wrapText="1"/>
    </xf>
    <xf numFmtId="0" fontId="1" fillId="0" borderId="24" xfId="2" applyFont="1" applyBorder="1" applyAlignment="1">
      <alignment horizontal="left" vertical="center" wrapText="1"/>
    </xf>
    <xf numFmtId="0" fontId="1" fillId="0" borderId="23" xfId="2" applyFont="1" applyBorder="1" applyAlignment="1">
      <alignment vertical="center" wrapText="1"/>
    </xf>
    <xf numFmtId="173" fontId="60" fillId="0" borderId="13" xfId="3" applyNumberFormat="1" applyFont="1" applyFill="1" applyBorder="1" applyAlignment="1">
      <alignment horizontal="right" vertical="center" wrapText="1"/>
    </xf>
    <xf numFmtId="0" fontId="7" fillId="0" borderId="40" xfId="0" applyFont="1" applyBorder="1" applyAlignment="1">
      <alignment horizontal="left" vertical="center"/>
    </xf>
    <xf numFmtId="3" fontId="68" fillId="0" borderId="40" xfId="0" applyNumberFormat="1" applyFont="1" applyBorder="1" applyAlignment="1">
      <alignment vertical="center"/>
    </xf>
    <xf numFmtId="3" fontId="68" fillId="0" borderId="79" xfId="0" applyNumberFormat="1" applyFont="1" applyBorder="1" applyAlignment="1">
      <alignment vertical="center"/>
    </xf>
    <xf numFmtId="0" fontId="18" fillId="0" borderId="22" xfId="2" applyFont="1" applyBorder="1" applyAlignment="1">
      <alignment horizontal="left" vertical="center" wrapText="1"/>
    </xf>
    <xf numFmtId="0" fontId="17" fillId="0" borderId="22" xfId="0" applyFont="1" applyBorder="1" applyAlignment="1">
      <alignment horizontal="left" vertical="center" wrapText="1"/>
    </xf>
    <xf numFmtId="3" fontId="17" fillId="0" borderId="22" xfId="2" applyNumberFormat="1" applyFont="1" applyBorder="1" applyAlignment="1">
      <alignment horizontal="center" vertical="center" wrapText="1"/>
    </xf>
    <xf numFmtId="0" fontId="17" fillId="0" borderId="22" xfId="2" applyFont="1" applyBorder="1" applyAlignment="1">
      <alignment horizontal="center" vertical="center" wrapText="1"/>
    </xf>
    <xf numFmtId="0" fontId="48" fillId="0" borderId="78" xfId="0" applyFont="1" applyBorder="1" applyAlignment="1">
      <alignment vertical="center"/>
    </xf>
    <xf numFmtId="172" fontId="41" fillId="0" borderId="0" xfId="0" applyNumberFormat="1" applyFont="1" applyAlignment="1">
      <alignment vertical="center"/>
    </xf>
    <xf numFmtId="0" fontId="66" fillId="0" borderId="0" xfId="0" applyFont="1" applyAlignment="1">
      <alignment vertical="center"/>
    </xf>
    <xf numFmtId="0" fontId="99" fillId="0" borderId="0" xfId="0" applyFont="1"/>
    <xf numFmtId="170" fontId="100" fillId="0" borderId="0" xfId="3" applyNumberFormat="1" applyFont="1" applyAlignment="1">
      <alignment vertical="center"/>
    </xf>
    <xf numFmtId="170" fontId="100" fillId="0" borderId="3" xfId="3" applyNumberFormat="1" applyFont="1" applyBorder="1" applyAlignment="1">
      <alignment vertical="center"/>
    </xf>
    <xf numFmtId="171" fontId="100" fillId="0" borderId="0" xfId="3" applyNumberFormat="1" applyFont="1" applyAlignment="1">
      <alignment vertical="center"/>
    </xf>
    <xf numFmtId="0" fontId="102" fillId="4" borderId="13" xfId="0" applyFont="1" applyFill="1" applyBorder="1"/>
    <xf numFmtId="1" fontId="102" fillId="4" borderId="40" xfId="0" applyNumberFormat="1" applyFont="1" applyFill="1" applyBorder="1"/>
    <xf numFmtId="10" fontId="1" fillId="0" borderId="13" xfId="1" quotePrefix="1" applyNumberFormat="1" applyFont="1" applyBorder="1" applyAlignment="1">
      <alignment horizontal="center" vertical="center" wrapText="1"/>
    </xf>
    <xf numFmtId="0" fontId="1" fillId="0" borderId="13" xfId="0" applyFont="1" applyBorder="1" applyAlignment="1">
      <alignment horizontal="left" vertical="center" wrapText="1"/>
    </xf>
    <xf numFmtId="0" fontId="58" fillId="0" borderId="13" xfId="0" applyFont="1" applyBorder="1" applyAlignment="1">
      <alignment horizontal="right" vertical="center" wrapText="1"/>
    </xf>
    <xf numFmtId="1" fontId="102" fillId="4" borderId="13" xfId="0" applyNumberFormat="1" applyFont="1" applyFill="1" applyBorder="1"/>
    <xf numFmtId="0" fontId="1" fillId="0" borderId="134" xfId="0" applyFont="1" applyBorder="1" applyAlignment="1">
      <alignment horizontal="left" vertical="center" wrapText="1"/>
    </xf>
    <xf numFmtId="0" fontId="0" fillId="0" borderId="136" xfId="0" applyBorder="1"/>
    <xf numFmtId="0" fontId="1" fillId="0" borderId="39" xfId="0" applyFont="1" applyBorder="1" applyAlignment="1">
      <alignment horizontal="left" vertical="center" wrapText="1"/>
    </xf>
    <xf numFmtId="1" fontId="105" fillId="0" borderId="13" xfId="0" applyNumberFormat="1" applyFont="1" applyBorder="1"/>
    <xf numFmtId="0" fontId="106" fillId="4" borderId="13" xfId="0" applyFont="1" applyFill="1" applyBorder="1"/>
    <xf numFmtId="0" fontId="38" fillId="0" borderId="2" xfId="2" applyFont="1" applyBorder="1" applyAlignment="1">
      <alignment horizontal="left" vertical="center" wrapText="1"/>
    </xf>
    <xf numFmtId="0" fontId="19" fillId="12" borderId="2" xfId="2" applyFont="1" applyFill="1" applyBorder="1" applyAlignment="1">
      <alignment horizontal="left" vertical="center" wrapText="1"/>
    </xf>
    <xf numFmtId="167" fontId="19" fillId="0" borderId="22" xfId="2" applyNumberFormat="1" applyFont="1" applyBorder="1" applyAlignment="1">
      <alignment horizontal="center" vertical="center" wrapText="1"/>
    </xf>
    <xf numFmtId="0" fontId="49" fillId="0" borderId="22" xfId="2" applyFont="1" applyBorder="1" applyAlignment="1">
      <alignment horizontal="center" vertical="center" wrapText="1"/>
    </xf>
    <xf numFmtId="0" fontId="103" fillId="0" borderId="0" xfId="0" applyFont="1" applyAlignment="1">
      <alignment vertical="center"/>
    </xf>
    <xf numFmtId="8" fontId="48" fillId="0" borderId="0" xfId="0" applyNumberFormat="1" applyFont="1" applyAlignment="1">
      <alignment vertical="center"/>
    </xf>
    <xf numFmtId="0" fontId="52" fillId="6" borderId="12" xfId="0" applyFont="1" applyFill="1" applyBorder="1" applyAlignment="1">
      <alignment vertical="center" textRotation="90"/>
    </xf>
    <xf numFmtId="0" fontId="52" fillId="6" borderId="0" xfId="0" applyFont="1" applyFill="1" applyAlignment="1">
      <alignment vertical="center" textRotation="90"/>
    </xf>
    <xf numFmtId="0" fontId="52" fillId="0" borderId="12" xfId="0" applyFont="1" applyBorder="1" applyAlignment="1">
      <alignment vertical="center" textRotation="90"/>
    </xf>
    <xf numFmtId="1" fontId="17" fillId="0" borderId="13" xfId="0" applyNumberFormat="1" applyFont="1" applyBorder="1"/>
    <xf numFmtId="1" fontId="17" fillId="0" borderId="66" xfId="0" applyNumberFormat="1" applyFont="1" applyBorder="1"/>
    <xf numFmtId="1" fontId="17" fillId="0" borderId="134" xfId="0" applyNumberFormat="1" applyFont="1" applyBorder="1"/>
    <xf numFmtId="1" fontId="18" fillId="0" borderId="134" xfId="0" applyNumberFormat="1" applyFont="1" applyBorder="1"/>
    <xf numFmtId="1" fontId="18" fillId="0" borderId="66" xfId="0" applyNumberFormat="1" applyFont="1" applyBorder="1"/>
    <xf numFmtId="174" fontId="18" fillId="0" borderId="134" xfId="0" applyNumberFormat="1" applyFont="1" applyBorder="1"/>
    <xf numFmtId="0" fontId="87" fillId="0" borderId="39" xfId="0" applyFont="1" applyBorder="1" applyAlignment="1">
      <alignment vertical="center" wrapText="1"/>
    </xf>
    <xf numFmtId="178" fontId="34" fillId="0" borderId="13" xfId="1" applyNumberFormat="1" applyFont="1" applyBorder="1" applyAlignment="1">
      <alignment horizontal="right" vertical="center" wrapText="1"/>
    </xf>
    <xf numFmtId="4" fontId="57" fillId="14" borderId="13" xfId="3" applyNumberFormat="1" applyFont="1" applyFill="1" applyBorder="1" applyAlignment="1">
      <alignment horizontal="right" vertical="center" wrapText="1"/>
    </xf>
    <xf numFmtId="2" fontId="0" fillId="0" borderId="0" xfId="0" applyNumberFormat="1"/>
    <xf numFmtId="2" fontId="3" fillId="0" borderId="0" xfId="0" applyNumberFormat="1" applyFont="1"/>
    <xf numFmtId="4" fontId="58" fillId="0" borderId="13" xfId="3" applyNumberFormat="1" applyFont="1" applyFill="1" applyBorder="1" applyAlignment="1">
      <alignment horizontal="right" vertical="center" wrapText="1"/>
    </xf>
    <xf numFmtId="167" fontId="60" fillId="0" borderId="13" xfId="3" applyNumberFormat="1" applyFont="1" applyFill="1" applyBorder="1" applyAlignment="1">
      <alignment horizontal="right" vertical="center" wrapText="1"/>
    </xf>
    <xf numFmtId="167" fontId="89" fillId="0" borderId="13" xfId="3" applyNumberFormat="1" applyFont="1" applyFill="1" applyBorder="1" applyAlignment="1">
      <alignment horizontal="right" vertical="center" wrapText="1"/>
    </xf>
    <xf numFmtId="167" fontId="57" fillId="14" borderId="13" xfId="3" applyNumberFormat="1" applyFont="1" applyFill="1" applyBorder="1" applyAlignment="1">
      <alignment horizontal="right" vertical="center" wrapText="1"/>
    </xf>
    <xf numFmtId="179" fontId="0" fillId="0" borderId="0" xfId="0" applyNumberFormat="1"/>
    <xf numFmtId="10" fontId="24" fillId="0" borderId="13" xfId="1" applyNumberFormat="1" applyFont="1" applyFill="1" applyBorder="1" applyAlignment="1">
      <alignment horizontal="center" vertical="center" wrapText="1"/>
    </xf>
    <xf numFmtId="0" fontId="107" fillId="0" borderId="0" xfId="0" applyFont="1" applyAlignment="1">
      <alignment vertical="center"/>
    </xf>
    <xf numFmtId="167" fontId="8" fillId="12" borderId="22" xfId="2" applyNumberFormat="1" applyFont="1" applyFill="1" applyBorder="1" applyAlignment="1">
      <alignment horizontal="center" vertical="center" wrapText="1"/>
    </xf>
    <xf numFmtId="9" fontId="17" fillId="0" borderId="0" xfId="1" applyFont="1"/>
    <xf numFmtId="168" fontId="17" fillId="0" borderId="0" xfId="1" applyNumberFormat="1" applyFont="1"/>
    <xf numFmtId="170" fontId="38" fillId="0" borderId="0" xfId="3" applyNumberFormat="1" applyFont="1" applyAlignment="1">
      <alignment vertical="center"/>
    </xf>
    <xf numFmtId="170" fontId="38" fillId="0" borderId="96" xfId="3" applyNumberFormat="1" applyFont="1" applyBorder="1" applyAlignment="1">
      <alignment vertical="center"/>
    </xf>
    <xf numFmtId="170" fontId="38" fillId="0" borderId="3" xfId="3" applyNumberFormat="1" applyFont="1" applyBorder="1" applyAlignment="1">
      <alignment vertical="center"/>
    </xf>
    <xf numFmtId="171" fontId="38" fillId="0" borderId="0" xfId="3" applyNumberFormat="1" applyFont="1" applyBorder="1" applyAlignment="1">
      <alignment vertical="center"/>
    </xf>
    <xf numFmtId="171" fontId="100" fillId="0" borderId="3" xfId="3" applyNumberFormat="1" applyFont="1" applyBorder="1" applyAlignment="1">
      <alignment vertical="center"/>
    </xf>
    <xf numFmtId="170" fontId="38" fillId="0" borderId="0" xfId="3" applyNumberFormat="1" applyFont="1" applyFill="1" applyAlignment="1">
      <alignment vertical="center"/>
    </xf>
    <xf numFmtId="167" fontId="38" fillId="0" borderId="22" xfId="2" applyNumberFormat="1" applyFont="1" applyBorder="1" applyAlignment="1">
      <alignment horizontal="center" vertical="center" wrapText="1"/>
    </xf>
    <xf numFmtId="0" fontId="17" fillId="0" borderId="10" xfId="0" applyFont="1" applyBorder="1" applyAlignment="1">
      <alignment horizontal="center" vertical="center"/>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 xfId="0" applyFont="1" applyBorder="1" applyAlignment="1">
      <alignment horizontal="center" vertical="center"/>
    </xf>
    <xf numFmtId="0" fontId="61" fillId="0" borderId="40" xfId="0" applyFont="1" applyBorder="1" applyAlignment="1">
      <alignment horizontal="left" vertical="center" wrapText="1"/>
    </xf>
    <xf numFmtId="3" fontId="88" fillId="0" borderId="13" xfId="3" applyNumberFormat="1" applyFont="1" applyFill="1" applyBorder="1" applyAlignment="1">
      <alignment horizontal="right" vertical="center" wrapText="1"/>
    </xf>
    <xf numFmtId="3" fontId="30" fillId="0" borderId="40" xfId="3" applyNumberFormat="1" applyFont="1" applyFill="1" applyBorder="1" applyAlignment="1">
      <alignment horizontal="right" vertical="center" wrapText="1"/>
    </xf>
    <xf numFmtId="1" fontId="18" fillId="0" borderId="40" xfId="0" applyNumberFormat="1" applyFont="1" applyBorder="1"/>
    <xf numFmtId="1" fontId="18" fillId="0" borderId="13" xfId="0" applyNumberFormat="1" applyFont="1" applyBorder="1"/>
    <xf numFmtId="174" fontId="18" fillId="0" borderId="13" xfId="0" applyNumberFormat="1" applyFont="1" applyBorder="1"/>
    <xf numFmtId="167" fontId="8" fillId="0" borderId="22" xfId="2" applyNumberFormat="1" applyFont="1" applyBorder="1" applyAlignment="1">
      <alignment horizontal="center" vertical="center" wrapText="1"/>
    </xf>
    <xf numFmtId="0" fontId="28" fillId="7" borderId="137" xfId="2" applyFont="1" applyFill="1" applyBorder="1" applyAlignment="1">
      <alignment horizontal="center" vertical="center" wrapText="1"/>
    </xf>
    <xf numFmtId="0" fontId="17" fillId="0" borderId="0" xfId="2" applyFont="1" applyAlignment="1">
      <alignment horizontal="center" vertical="center" wrapText="1"/>
    </xf>
    <xf numFmtId="173" fontId="18" fillId="0" borderId="22" xfId="2" applyNumberFormat="1" applyFont="1" applyBorder="1" applyAlignment="1">
      <alignment horizontal="center" vertical="center" wrapText="1"/>
    </xf>
    <xf numFmtId="10" fontId="18" fillId="0" borderId="22" xfId="2" applyNumberFormat="1" applyFont="1" applyBorder="1" applyAlignment="1">
      <alignment horizontal="center" vertical="center" wrapText="1"/>
    </xf>
    <xf numFmtId="170" fontId="100" fillId="0" borderId="0" xfId="3" applyNumberFormat="1" applyFont="1" applyBorder="1" applyAlignment="1">
      <alignment vertical="center"/>
    </xf>
    <xf numFmtId="0" fontId="17" fillId="0" borderId="6" xfId="0" applyFont="1" applyBorder="1" applyAlignment="1">
      <alignment horizontal="center" vertical="center"/>
    </xf>
    <xf numFmtId="170" fontId="100" fillId="0" borderId="4" xfId="3" applyNumberFormat="1" applyFont="1" applyBorder="1" applyAlignment="1">
      <alignment vertical="center"/>
    </xf>
    <xf numFmtId="170" fontId="100" fillId="0" borderId="101" xfId="3" applyNumberFormat="1" applyFont="1" applyBorder="1" applyAlignment="1">
      <alignment vertical="center"/>
    </xf>
    <xf numFmtId="0" fontId="17" fillId="0" borderId="138" xfId="0" applyFont="1" applyBorder="1" applyAlignment="1">
      <alignment horizontal="center" vertical="center" wrapText="1"/>
    </xf>
    <xf numFmtId="0" fontId="17" fillId="0" borderId="139" xfId="0" applyFont="1" applyBorder="1" applyAlignment="1">
      <alignment horizontal="center" vertical="center" wrapText="1"/>
    </xf>
    <xf numFmtId="170" fontId="17" fillId="15" borderId="139" xfId="3" applyNumberFormat="1" applyFont="1" applyFill="1" applyBorder="1" applyAlignment="1">
      <alignment vertical="center"/>
    </xf>
    <xf numFmtId="170" fontId="38" fillId="0" borderId="139" xfId="3" applyNumberFormat="1" applyFont="1" applyBorder="1" applyAlignment="1">
      <alignment vertical="center"/>
    </xf>
    <xf numFmtId="0" fontId="17" fillId="0" borderId="131" xfId="0" applyFont="1" applyBorder="1" applyAlignment="1">
      <alignment horizontal="center" vertical="center" wrapText="1"/>
    </xf>
    <xf numFmtId="0" fontId="17" fillId="0" borderId="141" xfId="0" applyFont="1" applyBorder="1" applyAlignment="1">
      <alignment horizontal="center" vertical="center" wrapText="1"/>
    </xf>
    <xf numFmtId="0" fontId="17" fillId="6" borderId="141" xfId="0" applyFont="1" applyFill="1" applyBorder="1" applyAlignment="1">
      <alignment horizontal="right" vertical="center" wrapText="1"/>
    </xf>
    <xf numFmtId="170" fontId="17" fillId="15" borderId="141" xfId="3" applyNumberFormat="1" applyFont="1" applyFill="1" applyBorder="1" applyAlignment="1">
      <alignment vertical="center"/>
    </xf>
    <xf numFmtId="170" fontId="38" fillId="0" borderId="141" xfId="3" applyNumberFormat="1" applyFont="1" applyBorder="1" applyAlignment="1">
      <alignment vertical="center"/>
    </xf>
    <xf numFmtId="0" fontId="70" fillId="0" borderId="0" xfId="0" applyFont="1" applyAlignment="1">
      <alignment horizontal="center" vertical="center"/>
    </xf>
    <xf numFmtId="164" fontId="75" fillId="8" borderId="142" xfId="3" applyFont="1" applyFill="1" applyBorder="1" applyAlignment="1">
      <alignment vertical="center" wrapText="1"/>
    </xf>
    <xf numFmtId="164" fontId="75" fillId="8" borderId="0" xfId="3" applyFont="1" applyFill="1" applyBorder="1" applyAlignment="1">
      <alignment vertical="center" wrapText="1"/>
    </xf>
    <xf numFmtId="170" fontId="38" fillId="0" borderId="101" xfId="3" applyNumberFormat="1" applyFont="1" applyBorder="1" applyAlignment="1">
      <alignment vertical="center"/>
    </xf>
    <xf numFmtId="170" fontId="38" fillId="0" borderId="144" xfId="3" applyNumberFormat="1" applyFont="1" applyBorder="1" applyAlignment="1">
      <alignment vertical="center"/>
    </xf>
    <xf numFmtId="170" fontId="100" fillId="0" borderId="141" xfId="3" applyNumberFormat="1" applyFont="1" applyBorder="1" applyAlignment="1">
      <alignment vertical="center"/>
    </xf>
    <xf numFmtId="0" fontId="17" fillId="0" borderId="139" xfId="0" applyFont="1" applyBorder="1" applyAlignment="1">
      <alignment horizontal="center" vertical="center"/>
    </xf>
    <xf numFmtId="0" fontId="17" fillId="6" borderId="139" xfId="0" applyFont="1" applyFill="1" applyBorder="1" applyAlignment="1">
      <alignment horizontal="right" vertical="center"/>
    </xf>
    <xf numFmtId="170" fontId="100" fillId="0" borderId="91" xfId="3" applyNumberFormat="1" applyFont="1" applyBorder="1" applyAlignment="1">
      <alignment vertical="center"/>
    </xf>
    <xf numFmtId="0" fontId="17" fillId="0" borderId="141" xfId="0" applyFont="1" applyBorder="1" applyAlignment="1">
      <alignment horizontal="center" vertical="center"/>
    </xf>
    <xf numFmtId="0" fontId="17" fillId="6" borderId="141" xfId="0" applyFont="1" applyFill="1" applyBorder="1" applyAlignment="1">
      <alignment horizontal="right" vertical="center"/>
    </xf>
    <xf numFmtId="170" fontId="100" fillId="0" borderId="133" xfId="3" applyNumberFormat="1" applyFont="1" applyBorder="1" applyAlignment="1">
      <alignment vertical="center"/>
    </xf>
    <xf numFmtId="0" fontId="17" fillId="0" borderId="4" xfId="0" applyFont="1" applyBorder="1" applyAlignment="1">
      <alignment horizontal="center" vertical="center"/>
    </xf>
    <xf numFmtId="0" fontId="17" fillId="6" borderId="4" xfId="0" applyFont="1" applyFill="1" applyBorder="1" applyAlignment="1">
      <alignment vertical="center"/>
    </xf>
    <xf numFmtId="0" fontId="17" fillId="15" borderId="4" xfId="0" applyFont="1" applyFill="1" applyBorder="1" applyAlignment="1">
      <alignment vertical="center"/>
    </xf>
    <xf numFmtId="0" fontId="17" fillId="6" borderId="0" xfId="0" applyFont="1" applyFill="1" applyAlignment="1">
      <alignment vertical="center"/>
    </xf>
    <xf numFmtId="0" fontId="17" fillId="15" borderId="0" xfId="0" applyFont="1" applyFill="1" applyAlignment="1">
      <alignment vertical="center"/>
    </xf>
    <xf numFmtId="0" fontId="17" fillId="0" borderId="139" xfId="0" applyFont="1" applyBorder="1" applyAlignment="1">
      <alignment horizontal="center"/>
    </xf>
    <xf numFmtId="0" fontId="17" fillId="6" borderId="139" xfId="0" applyFont="1" applyFill="1" applyBorder="1" applyAlignment="1">
      <alignment horizontal="right"/>
    </xf>
    <xf numFmtId="170" fontId="100" fillId="0" borderId="139" xfId="3" applyNumberFormat="1" applyFont="1" applyBorder="1" applyAlignment="1">
      <alignment vertical="center"/>
    </xf>
    <xf numFmtId="170" fontId="100" fillId="0" borderId="140" xfId="3" applyNumberFormat="1" applyFont="1" applyBorder="1" applyAlignment="1">
      <alignment vertical="center"/>
    </xf>
    <xf numFmtId="0" fontId="17" fillId="0" borderId="132" xfId="0" applyFont="1" applyBorder="1" applyAlignment="1">
      <alignment horizontal="center" vertical="center" wrapText="1"/>
    </xf>
    <xf numFmtId="171" fontId="100" fillId="0" borderId="0" xfId="3" applyNumberFormat="1" applyFont="1" applyBorder="1" applyAlignment="1">
      <alignment vertical="center"/>
    </xf>
    <xf numFmtId="0" fontId="17" fillId="0" borderId="138" xfId="0" applyFont="1" applyBorder="1" applyAlignment="1">
      <alignment horizontal="center" vertical="center"/>
    </xf>
    <xf numFmtId="0" fontId="17" fillId="0" borderId="132" xfId="0" applyFont="1" applyBorder="1" applyAlignment="1">
      <alignment horizontal="center" vertical="center"/>
    </xf>
    <xf numFmtId="0" fontId="17" fillId="0" borderId="131" xfId="0" applyFont="1" applyBorder="1" applyAlignment="1">
      <alignment horizontal="center" vertical="center"/>
    </xf>
    <xf numFmtId="10" fontId="8" fillId="0" borderId="13" xfId="3" applyNumberFormat="1" applyFont="1" applyFill="1" applyBorder="1" applyAlignment="1">
      <alignment horizontal="right" vertical="center" wrapText="1"/>
    </xf>
    <xf numFmtId="1" fontId="17" fillId="0" borderId="39" xfId="0" applyNumberFormat="1" applyFont="1" applyBorder="1"/>
    <xf numFmtId="1" fontId="22" fillId="0" borderId="123" xfId="0" applyNumberFormat="1" applyFont="1" applyBorder="1"/>
    <xf numFmtId="174" fontId="105" fillId="0" borderId="13" xfId="0" applyNumberFormat="1" applyFont="1" applyBorder="1"/>
    <xf numFmtId="174" fontId="17" fillId="0" borderId="13" xfId="0" applyNumberFormat="1" applyFont="1" applyBorder="1"/>
    <xf numFmtId="0" fontId="17" fillId="0" borderId="13" xfId="0" applyFont="1" applyBorder="1"/>
    <xf numFmtId="167" fontId="8" fillId="0" borderId="13" xfId="3" applyNumberFormat="1" applyFont="1" applyFill="1" applyBorder="1" applyAlignment="1">
      <alignment horizontal="right" vertical="center" wrapText="1"/>
    </xf>
    <xf numFmtId="167" fontId="59" fillId="0" borderId="13" xfId="3" applyNumberFormat="1" applyFont="1" applyFill="1" applyBorder="1" applyAlignment="1">
      <alignment horizontal="right" vertical="center" wrapText="1"/>
    </xf>
    <xf numFmtId="167" fontId="105" fillId="0" borderId="13" xfId="0" applyNumberFormat="1" applyFont="1" applyBorder="1" applyAlignment="1">
      <alignment horizontal="right"/>
    </xf>
    <xf numFmtId="3" fontId="8" fillId="0" borderId="66" xfId="3" applyNumberFormat="1" applyFont="1" applyFill="1" applyBorder="1" applyAlignment="1">
      <alignment horizontal="right" vertical="center" wrapText="1"/>
    </xf>
    <xf numFmtId="0" fontId="104" fillId="0" borderId="0" xfId="0" applyFont="1" applyAlignment="1">
      <alignment horizontal="center" vertical="center" wrapText="1"/>
    </xf>
    <xf numFmtId="0" fontId="16" fillId="7" borderId="74" xfId="2" applyFont="1" applyFill="1" applyBorder="1" applyAlignment="1">
      <alignment horizontal="center" vertical="center" wrapText="1"/>
    </xf>
    <xf numFmtId="0" fontId="28" fillId="7" borderId="74" xfId="2" applyFont="1" applyFill="1" applyBorder="1" applyAlignment="1">
      <alignment horizontal="center" vertical="center" wrapText="1"/>
    </xf>
    <xf numFmtId="0" fontId="18" fillId="0" borderId="22" xfId="0" applyFont="1" applyBorder="1" applyAlignment="1">
      <alignment vertical="center"/>
    </xf>
    <xf numFmtId="165" fontId="66" fillId="0" borderId="22" xfId="2" applyNumberFormat="1" applyFont="1" applyBorder="1" applyAlignment="1">
      <alignment horizontal="center" vertical="center" wrapText="1"/>
    </xf>
    <xf numFmtId="0" fontId="8" fillId="0" borderId="22" xfId="0" applyFont="1" applyBorder="1" applyAlignment="1">
      <alignment vertical="center"/>
    </xf>
    <xf numFmtId="0" fontId="17" fillId="0" borderId="78" xfId="2" applyFont="1" applyBorder="1" applyAlignment="1">
      <alignment horizontal="left" vertical="center" wrapText="1"/>
    </xf>
    <xf numFmtId="167" fontId="44" fillId="0" borderId="0" xfId="2" applyNumberFormat="1" applyFont="1" applyAlignment="1">
      <alignment horizontal="center" vertical="center" wrapText="1"/>
    </xf>
    <xf numFmtId="167" fontId="18" fillId="0" borderId="0" xfId="2" applyNumberFormat="1" applyFont="1" applyAlignment="1">
      <alignment horizontal="center" vertical="center" wrapText="1"/>
    </xf>
    <xf numFmtId="0" fontId="44" fillId="12" borderId="22" xfId="2" applyFont="1" applyFill="1" applyBorder="1" applyAlignment="1">
      <alignment horizontal="left" vertical="center" wrapText="1"/>
    </xf>
    <xf numFmtId="176" fontId="44" fillId="0" borderId="22" xfId="3" applyNumberFormat="1" applyFont="1" applyFill="1" applyBorder="1" applyAlignment="1">
      <alignment horizontal="center" vertical="center"/>
    </xf>
    <xf numFmtId="177" fontId="44" fillId="0" borderId="22" xfId="3" applyNumberFormat="1" applyFont="1" applyFill="1" applyBorder="1" applyAlignment="1">
      <alignment horizontal="center" vertical="center"/>
    </xf>
    <xf numFmtId="176" fontId="18" fillId="0" borderId="22" xfId="3" applyNumberFormat="1" applyFont="1" applyBorder="1" applyAlignment="1">
      <alignment horizontal="center" vertical="center"/>
    </xf>
    <xf numFmtId="0" fontId="95" fillId="0" borderId="22" xfId="2" applyFont="1" applyBorder="1" applyAlignment="1">
      <alignment horizontal="left" vertical="center" wrapText="1"/>
    </xf>
    <xf numFmtId="0" fontId="19" fillId="0" borderId="148" xfId="0" applyFont="1" applyBorder="1" applyAlignment="1">
      <alignment vertical="center"/>
    </xf>
    <xf numFmtId="167" fontId="101" fillId="0" borderId="0" xfId="2" applyNumberFormat="1" applyFont="1" applyAlignment="1">
      <alignment horizontal="center" vertical="center" wrapText="1"/>
    </xf>
    <xf numFmtId="10" fontId="101" fillId="0" borderId="0" xfId="1" applyNumberFormat="1" applyFont="1" applyBorder="1" applyAlignment="1">
      <alignment horizontal="center" vertical="center" wrapText="1"/>
    </xf>
    <xf numFmtId="10" fontId="17" fillId="0" borderId="0" xfId="1" applyNumberFormat="1" applyFont="1" applyFill="1" applyBorder="1" applyAlignment="1">
      <alignment horizontal="center" vertical="center" wrapText="1"/>
    </xf>
    <xf numFmtId="10" fontId="17" fillId="0" borderId="130" xfId="1" applyNumberFormat="1" applyFont="1" applyFill="1" applyBorder="1" applyAlignment="1">
      <alignment horizontal="center" vertical="center" wrapText="1"/>
    </xf>
    <xf numFmtId="0" fontId="44" fillId="12" borderId="22" xfId="2" applyFont="1" applyFill="1" applyBorder="1" applyAlignment="1">
      <alignment horizontal="center" vertical="center" wrapText="1"/>
    </xf>
    <xf numFmtId="10" fontId="44" fillId="0" borderId="22" xfId="1" applyNumberFormat="1" applyFont="1" applyFill="1" applyBorder="1" applyAlignment="1">
      <alignment horizontal="center" vertical="center" wrapText="1"/>
    </xf>
    <xf numFmtId="0" fontId="34" fillId="12" borderId="22" xfId="2" applyFont="1" applyFill="1" applyBorder="1" applyAlignment="1">
      <alignment horizontal="left" vertical="center" wrapText="1"/>
    </xf>
    <xf numFmtId="165" fontId="34" fillId="12" borderId="22" xfId="2" applyNumberFormat="1" applyFont="1" applyFill="1" applyBorder="1" applyAlignment="1">
      <alignment horizontal="center" vertical="center" wrapText="1"/>
    </xf>
    <xf numFmtId="166" fontId="98" fillId="12" borderId="22" xfId="2" applyNumberFormat="1" applyFont="1" applyFill="1" applyBorder="1" applyAlignment="1">
      <alignment horizontal="center" vertical="center" wrapText="1"/>
    </xf>
    <xf numFmtId="180" fontId="98" fillId="12" borderId="22" xfId="2" applyNumberFormat="1" applyFont="1" applyFill="1" applyBorder="1" applyAlignment="1">
      <alignment horizontal="center" vertical="center" wrapText="1"/>
    </xf>
    <xf numFmtId="181" fontId="98" fillId="12" borderId="22" xfId="2" applyNumberFormat="1" applyFont="1" applyFill="1" applyBorder="1" applyAlignment="1">
      <alignment horizontal="center" vertical="center" wrapText="1"/>
    </xf>
    <xf numFmtId="0" fontId="22" fillId="0" borderId="22" xfId="2" applyFont="1" applyBorder="1" applyAlignment="1">
      <alignment horizontal="left" vertical="center" wrapText="1"/>
    </xf>
    <xf numFmtId="166" fontId="66" fillId="0" borderId="22" xfId="2" applyNumberFormat="1" applyFont="1" applyBorder="1" applyAlignment="1">
      <alignment horizontal="center" vertical="center" wrapText="1"/>
    </xf>
    <xf numFmtId="0" fontId="34" fillId="0" borderId="22" xfId="2" applyFont="1" applyBorder="1" applyAlignment="1">
      <alignment horizontal="left" vertical="center" wrapText="1"/>
    </xf>
    <xf numFmtId="166" fontId="34" fillId="12" borderId="22" xfId="2" applyNumberFormat="1" applyFont="1" applyFill="1" applyBorder="1" applyAlignment="1">
      <alignment horizontal="center" vertical="center" wrapText="1"/>
    </xf>
    <xf numFmtId="166" fontId="34" fillId="0" borderId="22" xfId="2" applyNumberFormat="1" applyFont="1" applyBorder="1" applyAlignment="1">
      <alignment horizontal="center" vertical="center" wrapText="1"/>
    </xf>
    <xf numFmtId="3" fontId="18" fillId="0" borderId="22" xfId="2" applyNumberFormat="1" applyFont="1" applyBorder="1" applyAlignment="1">
      <alignment horizontal="center" vertical="center" wrapText="1"/>
    </xf>
    <xf numFmtId="174" fontId="22" fillId="0" borderId="22" xfId="2" applyNumberFormat="1" applyFont="1" applyBorder="1" applyAlignment="1">
      <alignment horizontal="center" vertical="center" wrapText="1"/>
    </xf>
    <xf numFmtId="174" fontId="18" fillId="0" borderId="22" xfId="2" applyNumberFormat="1" applyFont="1" applyBorder="1" applyAlignment="1">
      <alignment horizontal="center" vertical="center" wrapText="1"/>
    </xf>
    <xf numFmtId="0" fontId="8" fillId="0" borderId="40" xfId="0" applyFont="1" applyBorder="1" applyAlignment="1">
      <alignment horizontal="left" vertical="center" wrapText="1"/>
    </xf>
    <xf numFmtId="0" fontId="108" fillId="0" borderId="22" xfId="0" applyFont="1" applyBorder="1" applyAlignment="1">
      <alignment horizontal="left" vertical="center" wrapText="1" indent="2"/>
    </xf>
    <xf numFmtId="0" fontId="8" fillId="0" borderId="125" xfId="2" applyFont="1" applyBorder="1" applyAlignment="1">
      <alignment horizontal="left" vertical="center"/>
    </xf>
    <xf numFmtId="0" fontId="1" fillId="0" borderId="125" xfId="2" applyFont="1" applyBorder="1" applyAlignment="1">
      <alignment horizontal="center" vertical="center" wrapText="1"/>
    </xf>
    <xf numFmtId="10" fontId="1" fillId="0" borderId="28" xfId="1" applyNumberFormat="1" applyFont="1" applyFill="1" applyBorder="1" applyAlignment="1">
      <alignment horizontal="center" vertical="center" wrapText="1"/>
    </xf>
    <xf numFmtId="0" fontId="8" fillId="0" borderId="28" xfId="2" applyFont="1" applyBorder="1" applyAlignment="1">
      <alignment horizontal="left" vertical="center" wrapText="1"/>
    </xf>
    <xf numFmtId="0" fontId="1" fillId="0" borderId="28" xfId="2" applyFont="1" applyBorder="1" applyAlignment="1">
      <alignment horizontal="center" vertical="center" wrapText="1"/>
    </xf>
    <xf numFmtId="165" fontId="108" fillId="0" borderId="28" xfId="2" applyNumberFormat="1" applyFont="1" applyBorder="1" applyAlignment="1">
      <alignment horizontal="center" vertical="center" wrapText="1"/>
    </xf>
    <xf numFmtId="166" fontId="108" fillId="0" borderId="28" xfId="2" applyNumberFormat="1" applyFont="1" applyBorder="1" applyAlignment="1">
      <alignment horizontal="center" vertical="center" wrapText="1"/>
    </xf>
    <xf numFmtId="0" fontId="7" fillId="12" borderId="77" xfId="2" applyFont="1" applyFill="1" applyBorder="1" applyAlignment="1">
      <alignment vertical="center" wrapText="1"/>
    </xf>
    <xf numFmtId="0" fontId="7" fillId="12" borderId="24" xfId="2" applyFont="1" applyFill="1" applyBorder="1" applyAlignment="1">
      <alignment vertical="center" wrapText="1"/>
    </xf>
    <xf numFmtId="10" fontId="19" fillId="0" borderId="130" xfId="2" applyNumberFormat="1" applyFont="1" applyBorder="1" applyAlignment="1">
      <alignment horizontal="center" vertical="center" wrapText="1"/>
    </xf>
    <xf numFmtId="0" fontId="46" fillId="0" borderId="0" xfId="0" applyFont="1" applyAlignment="1">
      <alignment vertical="center" textRotation="90"/>
    </xf>
    <xf numFmtId="0" fontId="32" fillId="0" borderId="0" xfId="2" applyFont="1" applyAlignment="1">
      <alignment vertical="center" textRotation="90" wrapText="1"/>
    </xf>
    <xf numFmtId="182" fontId="38" fillId="0" borderId="139" xfId="3" applyNumberFormat="1" applyFont="1" applyBorder="1" applyAlignment="1">
      <alignment vertical="center"/>
    </xf>
    <xf numFmtId="182" fontId="38" fillId="0" borderId="140" xfId="3" applyNumberFormat="1" applyFont="1" applyBorder="1" applyAlignment="1">
      <alignment vertical="center"/>
    </xf>
    <xf numFmtId="182" fontId="38" fillId="0" borderId="0" xfId="3" applyNumberFormat="1" applyFont="1" applyBorder="1" applyAlignment="1">
      <alignment vertical="center"/>
    </xf>
    <xf numFmtId="182" fontId="100" fillId="0" borderId="0" xfId="3" applyNumberFormat="1" applyFont="1" applyBorder="1" applyAlignment="1">
      <alignment vertical="center"/>
    </xf>
    <xf numFmtId="182" fontId="100" fillId="0" borderId="91" xfId="3" applyNumberFormat="1" applyFont="1" applyBorder="1" applyAlignment="1">
      <alignment vertical="center"/>
    </xf>
    <xf numFmtId="182" fontId="38" fillId="0" borderId="0" xfId="3" applyNumberFormat="1" applyFont="1" applyFill="1" applyBorder="1" applyAlignment="1">
      <alignment vertical="center"/>
    </xf>
    <xf numFmtId="164" fontId="18" fillId="0" borderId="0" xfId="3" applyFont="1" applyFill="1" applyAlignment="1">
      <alignment vertical="center"/>
    </xf>
    <xf numFmtId="164" fontId="48" fillId="0" borderId="0" xfId="3" quotePrefix="1" applyFont="1" applyFill="1" applyAlignment="1">
      <alignment vertical="center"/>
    </xf>
    <xf numFmtId="10" fontId="48" fillId="0" borderId="0" xfId="0" applyNumberFormat="1" applyFont="1" applyAlignment="1">
      <alignment vertical="center"/>
    </xf>
    <xf numFmtId="10" fontId="18" fillId="0" borderId="0" xfId="0" applyNumberFormat="1" applyFont="1" applyAlignment="1">
      <alignment vertical="center"/>
    </xf>
    <xf numFmtId="10" fontId="18" fillId="0" borderId="0" xfId="3" applyNumberFormat="1" applyFont="1" applyAlignment="1">
      <alignment horizontal="right" vertical="center"/>
    </xf>
    <xf numFmtId="9" fontId="18" fillId="0" borderId="0" xfId="1" applyFont="1" applyFill="1" applyAlignment="1">
      <alignment vertical="center"/>
    </xf>
    <xf numFmtId="183" fontId="18" fillId="0" borderId="0" xfId="1" applyNumberFormat="1" applyFont="1" applyFill="1" applyAlignment="1">
      <alignment vertical="center"/>
    </xf>
    <xf numFmtId="2" fontId="42" fillId="2" borderId="58" xfId="2" applyNumberFormat="1" applyFont="1" applyFill="1" applyBorder="1" applyAlignment="1">
      <alignment horizontal="center" vertical="center" wrapText="1"/>
    </xf>
    <xf numFmtId="2" fontId="42" fillId="2" borderId="56" xfId="2" applyNumberFormat="1" applyFont="1" applyFill="1" applyBorder="1" applyAlignment="1">
      <alignment horizontal="center" vertical="center" wrapText="1"/>
    </xf>
    <xf numFmtId="4" fontId="0" fillId="0" borderId="0" xfId="0" applyNumberFormat="1"/>
    <xf numFmtId="10" fontId="94" fillId="22" borderId="2" xfId="1" applyNumberFormat="1" applyFont="1" applyFill="1" applyBorder="1" applyAlignment="1">
      <alignment horizontal="center" vertical="center"/>
    </xf>
    <xf numFmtId="179" fontId="44" fillId="12" borderId="22" xfId="2" applyNumberFormat="1" applyFont="1" applyFill="1" applyBorder="1" applyAlignment="1">
      <alignment horizontal="center" vertical="center" wrapText="1"/>
    </xf>
    <xf numFmtId="174" fontId="0" fillId="0" borderId="0" xfId="0" applyNumberFormat="1"/>
    <xf numFmtId="178" fontId="108" fillId="0" borderId="28" xfId="2" applyNumberFormat="1" applyFont="1" applyBorder="1" applyAlignment="1">
      <alignment horizontal="center" vertical="center" wrapText="1"/>
    </xf>
    <xf numFmtId="1" fontId="22" fillId="2" borderId="40" xfId="0" applyNumberFormat="1" applyFont="1" applyFill="1" applyBorder="1"/>
    <xf numFmtId="2" fontId="22" fillId="0" borderId="40" xfId="3" applyNumberFormat="1" applyFont="1" applyFill="1" applyBorder="1"/>
    <xf numFmtId="1" fontId="22" fillId="2" borderId="80" xfId="0" applyNumberFormat="1" applyFont="1" applyFill="1" applyBorder="1"/>
    <xf numFmtId="1" fontId="22" fillId="0" borderId="40" xfId="0" applyNumberFormat="1" applyFont="1" applyBorder="1"/>
    <xf numFmtId="1" fontId="22" fillId="0" borderId="13" xfId="0" applyNumberFormat="1" applyFont="1" applyBorder="1"/>
    <xf numFmtId="3" fontId="8" fillId="0" borderId="13" xfId="3" applyNumberFormat="1" applyFont="1" applyFill="1" applyBorder="1" applyAlignment="1">
      <alignment horizontal="center" vertical="center" wrapText="1"/>
    </xf>
    <xf numFmtId="0" fontId="22" fillId="0" borderId="13" xfId="0" applyFont="1" applyBorder="1"/>
    <xf numFmtId="167" fontId="1" fillId="23" borderId="22" xfId="2" applyNumberFormat="1" applyFont="1" applyFill="1" applyBorder="1" applyAlignment="1">
      <alignment horizontal="center" vertical="center" wrapText="1"/>
    </xf>
    <xf numFmtId="1" fontId="18" fillId="0" borderId="0" xfId="0" applyNumberFormat="1" applyFont="1" applyAlignment="1">
      <alignment vertical="center"/>
    </xf>
    <xf numFmtId="0" fontId="1" fillId="2" borderId="22" xfId="2" applyFont="1" applyFill="1" applyBorder="1" applyAlignment="1">
      <alignment horizontal="left" vertical="center" wrapText="1"/>
    </xf>
    <xf numFmtId="0" fontId="1" fillId="23" borderId="22" xfId="2" applyFont="1" applyFill="1" applyBorder="1" applyAlignment="1">
      <alignment horizontal="center" vertical="center" wrapText="1"/>
    </xf>
    <xf numFmtId="167" fontId="1" fillId="2" borderId="22" xfId="2" applyNumberFormat="1" applyFont="1" applyFill="1" applyBorder="1" applyAlignment="1">
      <alignment horizontal="center" vertical="center" wrapText="1"/>
    </xf>
    <xf numFmtId="0" fontId="39" fillId="2" borderId="0" xfId="0" applyFont="1" applyFill="1" applyAlignment="1">
      <alignment vertical="center"/>
    </xf>
    <xf numFmtId="0" fontId="40" fillId="2" borderId="0" xfId="0" applyFont="1" applyFill="1" applyAlignment="1">
      <alignment vertical="center"/>
    </xf>
    <xf numFmtId="0" fontId="22" fillId="2" borderId="0" xfId="0" applyFont="1" applyFill="1" applyAlignment="1">
      <alignment vertical="center"/>
    </xf>
    <xf numFmtId="1" fontId="22" fillId="2" borderId="13" xfId="0" applyNumberFormat="1" applyFont="1" applyFill="1" applyBorder="1"/>
    <xf numFmtId="4" fontId="44" fillId="12" borderId="22" xfId="2" applyNumberFormat="1" applyFont="1" applyFill="1" applyBorder="1" applyAlignment="1">
      <alignment horizontal="center" vertical="center" wrapText="1"/>
    </xf>
    <xf numFmtId="183" fontId="76" fillId="0" borderId="0" xfId="1" applyNumberFormat="1" applyFont="1"/>
    <xf numFmtId="0" fontId="32" fillId="19" borderId="30" xfId="2" applyFont="1" applyFill="1" applyBorder="1" applyAlignment="1">
      <alignment vertical="center" textRotation="90" wrapText="1"/>
    </xf>
    <xf numFmtId="0" fontId="32" fillId="19" borderId="78" xfId="2" applyFont="1" applyFill="1" applyBorder="1" applyAlignment="1">
      <alignment vertical="center" textRotation="90" wrapText="1"/>
    </xf>
    <xf numFmtId="167" fontId="0" fillId="0" borderId="0" xfId="0" applyNumberFormat="1"/>
    <xf numFmtId="179" fontId="1" fillId="0" borderId="22" xfId="2" applyNumberFormat="1" applyFont="1" applyBorder="1" applyAlignment="1">
      <alignment horizontal="center" vertical="center" wrapText="1"/>
    </xf>
    <xf numFmtId="0" fontId="22" fillId="2" borderId="13" xfId="0" applyFont="1" applyFill="1" applyBorder="1"/>
    <xf numFmtId="174" fontId="18" fillId="0" borderId="0" xfId="0" applyNumberFormat="1" applyFont="1" applyAlignment="1">
      <alignment vertical="center"/>
    </xf>
    <xf numFmtId="3" fontId="8" fillId="2" borderId="13" xfId="3" applyNumberFormat="1" applyFont="1" applyFill="1" applyBorder="1" applyAlignment="1">
      <alignment horizontal="center" vertical="center" wrapText="1"/>
    </xf>
    <xf numFmtId="10" fontId="18" fillId="0" borderId="0" xfId="1" applyNumberFormat="1" applyFont="1" applyFill="1" applyAlignment="1">
      <alignment vertical="center"/>
    </xf>
    <xf numFmtId="10" fontId="18" fillId="0" borderId="0" xfId="1" applyNumberFormat="1" applyFont="1" applyAlignment="1">
      <alignment horizontal="center" vertical="center" wrapText="1"/>
    </xf>
    <xf numFmtId="174" fontId="22" fillId="2" borderId="40" xfId="0" applyNumberFormat="1" applyFont="1" applyFill="1" applyBorder="1"/>
    <xf numFmtId="174" fontId="5" fillId="0" borderId="13" xfId="3" applyNumberFormat="1" applyFont="1" applyFill="1" applyBorder="1" applyAlignment="1">
      <alignment horizontal="right" vertical="center" wrapText="1"/>
    </xf>
    <xf numFmtId="0" fontId="105" fillId="0" borderId="0" xfId="0" applyFont="1"/>
    <xf numFmtId="167" fontId="17" fillId="23" borderId="22" xfId="2" applyNumberFormat="1" applyFont="1" applyFill="1" applyBorder="1" applyAlignment="1">
      <alignment horizontal="center" vertical="center" wrapText="1"/>
    </xf>
    <xf numFmtId="0" fontId="3" fillId="0" borderId="0" xfId="0" applyFont="1" applyAlignment="1">
      <alignment horizontal="center"/>
    </xf>
    <xf numFmtId="0" fontId="17" fillId="0" borderId="14" xfId="2" applyFont="1" applyBorder="1" applyAlignment="1">
      <alignment horizontal="center" vertical="center" wrapText="1"/>
    </xf>
    <xf numFmtId="0" fontId="11" fillId="0" borderId="0" xfId="0" applyFont="1" applyAlignment="1">
      <alignment horizontal="left" vertical="center" wrapText="1"/>
    </xf>
    <xf numFmtId="3" fontId="68" fillId="0" borderId="40" xfId="0" applyNumberFormat="1" applyFont="1" applyBorder="1" applyAlignment="1">
      <alignment horizontal="right" vertical="center" wrapText="1"/>
    </xf>
    <xf numFmtId="3" fontId="68" fillId="0" borderId="79" xfId="0" applyNumberFormat="1" applyFont="1" applyBorder="1" applyAlignment="1">
      <alignment horizontal="right" vertical="center" wrapText="1"/>
    </xf>
    <xf numFmtId="0" fontId="52" fillId="6" borderId="0" xfId="0" applyFont="1" applyFill="1" applyAlignment="1">
      <alignment horizontal="center" vertical="center" textRotation="90" wrapText="1"/>
    </xf>
    <xf numFmtId="3" fontId="77" fillId="0" borderId="40" xfId="0" applyNumberFormat="1" applyFont="1" applyBorder="1" applyAlignment="1">
      <alignment horizontal="right" vertical="center" wrapText="1"/>
    </xf>
    <xf numFmtId="3" fontId="77" fillId="0" borderId="79" xfId="0" applyNumberFormat="1" applyFont="1" applyBorder="1" applyAlignment="1">
      <alignment horizontal="right" vertical="center" wrapText="1"/>
    </xf>
    <xf numFmtId="0" fontId="6" fillId="6" borderId="0" xfId="0" applyFont="1" applyFill="1" applyAlignment="1">
      <alignment horizontal="right"/>
    </xf>
    <xf numFmtId="0" fontId="6" fillId="6" borderId="12" xfId="0" applyFont="1" applyFill="1" applyBorder="1" applyAlignment="1">
      <alignment horizontal="right"/>
    </xf>
    <xf numFmtId="0" fontId="52" fillId="6" borderId="12" xfId="0" applyFont="1" applyFill="1" applyBorder="1" applyAlignment="1">
      <alignment horizontal="center" vertical="center" textRotation="90"/>
    </xf>
    <xf numFmtId="0" fontId="7" fillId="14" borderId="40" xfId="0" applyFont="1" applyFill="1" applyBorder="1" applyAlignment="1">
      <alignment horizontal="left" vertical="center" wrapText="1"/>
    </xf>
    <xf numFmtId="0" fontId="7" fillId="14" borderId="80" xfId="0" applyFont="1" applyFill="1" applyBorder="1" applyAlignment="1">
      <alignment horizontal="left" vertical="center" wrapText="1"/>
    </xf>
    <xf numFmtId="0" fontId="7" fillId="14" borderId="44" xfId="0" applyFont="1" applyFill="1" applyBorder="1" applyAlignment="1">
      <alignment horizontal="left" vertical="center" wrapText="1"/>
    </xf>
    <xf numFmtId="3" fontId="65" fillId="0" borderId="40" xfId="0" applyNumberFormat="1" applyFont="1" applyBorder="1" applyAlignment="1">
      <alignment horizontal="right" vertical="center" wrapText="1"/>
    </xf>
    <xf numFmtId="3" fontId="65" fillId="0" borderId="79" xfId="0" applyNumberFormat="1" applyFont="1" applyBorder="1" applyAlignment="1">
      <alignment horizontal="right" vertical="center" wrapText="1"/>
    </xf>
    <xf numFmtId="0" fontId="52" fillId="6" borderId="12" xfId="0" applyFont="1" applyFill="1" applyBorder="1" applyAlignment="1">
      <alignment horizontal="center" textRotation="90"/>
    </xf>
    <xf numFmtId="0" fontId="6" fillId="6" borderId="61" xfId="2" applyFont="1" applyFill="1" applyBorder="1" applyAlignment="1">
      <alignment horizontal="center" vertical="center" wrapText="1"/>
    </xf>
    <xf numFmtId="0" fontId="6" fillId="6" borderId="62" xfId="2" applyFont="1" applyFill="1" applyBorder="1" applyAlignment="1">
      <alignment horizontal="center" vertical="center" wrapText="1"/>
    </xf>
    <xf numFmtId="0" fontId="6" fillId="6" borderId="63" xfId="2" applyFont="1" applyFill="1" applyBorder="1" applyAlignment="1">
      <alignment horizontal="center" vertical="center" wrapText="1"/>
    </xf>
    <xf numFmtId="0" fontId="4" fillId="6" borderId="68" xfId="2" applyFont="1" applyFill="1" applyBorder="1" applyAlignment="1">
      <alignment horizontal="center" vertical="center" wrapText="1"/>
    </xf>
    <xf numFmtId="0" fontId="4" fillId="6" borderId="69" xfId="2" applyFont="1" applyFill="1" applyBorder="1" applyAlignment="1">
      <alignment horizontal="center" vertical="center" wrapText="1"/>
    </xf>
    <xf numFmtId="0" fontId="4" fillId="6" borderId="70" xfId="2" applyFont="1" applyFill="1" applyBorder="1" applyAlignment="1">
      <alignment horizontal="center" vertical="center" wrapText="1"/>
    </xf>
    <xf numFmtId="0" fontId="52" fillId="6" borderId="44" xfId="0" applyFont="1" applyFill="1" applyBorder="1" applyAlignment="1">
      <alignment horizontal="center" vertical="center" textRotation="90" wrapText="1"/>
    </xf>
    <xf numFmtId="0" fontId="52" fillId="6" borderId="12" xfId="0" applyFont="1" applyFill="1" applyBorder="1" applyAlignment="1">
      <alignment horizontal="center" vertical="center" textRotation="90" wrapText="1"/>
    </xf>
    <xf numFmtId="0" fontId="52" fillId="6" borderId="44" xfId="0" applyFont="1" applyFill="1" applyBorder="1" applyAlignment="1">
      <alignment horizontal="center" vertical="center" textRotation="90"/>
    </xf>
    <xf numFmtId="0" fontId="52" fillId="6" borderId="135" xfId="0" applyFont="1" applyFill="1" applyBorder="1" applyAlignment="1">
      <alignment horizontal="center" vertical="center" textRotation="90"/>
    </xf>
    <xf numFmtId="0" fontId="52" fillId="6" borderId="135" xfId="0" applyFont="1" applyFill="1" applyBorder="1" applyAlignment="1">
      <alignment horizontal="center" textRotation="90"/>
    </xf>
    <xf numFmtId="0" fontId="15" fillId="7" borderId="23" xfId="2" applyFont="1" applyFill="1" applyBorder="1" applyAlignment="1">
      <alignment vertical="center" wrapText="1"/>
    </xf>
    <xf numFmtId="0" fontId="15" fillId="7" borderId="72" xfId="2" applyFont="1" applyFill="1" applyBorder="1" applyAlignment="1">
      <alignment vertical="center" wrapText="1"/>
    </xf>
    <xf numFmtId="0" fontId="32" fillId="19" borderId="29" xfId="2" applyFont="1" applyFill="1" applyBorder="1" applyAlignment="1">
      <alignment horizontal="center" vertical="center" textRotation="90" wrapText="1"/>
    </xf>
    <xf numFmtId="0" fontId="32" fillId="19" borderId="73" xfId="2" applyFont="1" applyFill="1" applyBorder="1" applyAlignment="1">
      <alignment horizontal="center" vertical="center" textRotation="90" wrapText="1"/>
    </xf>
    <xf numFmtId="0" fontId="32" fillId="19" borderId="30" xfId="2" applyFont="1" applyFill="1" applyBorder="1" applyAlignment="1">
      <alignment vertical="center" textRotation="90" wrapText="1"/>
    </xf>
    <xf numFmtId="0" fontId="32" fillId="19" borderId="78" xfId="2" applyFont="1" applyFill="1" applyBorder="1" applyAlignment="1">
      <alignment vertical="center" textRotation="90" wrapText="1"/>
    </xf>
    <xf numFmtId="0" fontId="32" fillId="19" borderId="125" xfId="2" applyFont="1" applyFill="1" applyBorder="1" applyAlignment="1">
      <alignment vertical="center" textRotation="90" wrapText="1"/>
    </xf>
    <xf numFmtId="0" fontId="32" fillId="19" borderId="76" xfId="2" applyFont="1" applyFill="1" applyBorder="1" applyAlignment="1">
      <alignment horizontal="center" vertical="center" textRotation="90" wrapText="1"/>
    </xf>
    <xf numFmtId="0" fontId="32" fillId="19" borderId="0" xfId="2" applyFont="1" applyFill="1" applyAlignment="1">
      <alignment horizontal="center" vertical="center" textRotation="90" wrapText="1"/>
    </xf>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17" fillId="0" borderId="50"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3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8" xfId="0" applyFont="1" applyBorder="1" applyAlignment="1">
      <alignment horizontal="left" vertical="center" wrapText="1"/>
    </xf>
    <xf numFmtId="0" fontId="17" fillId="0" borderId="139" xfId="0" applyFont="1" applyBorder="1" applyAlignment="1">
      <alignment horizontal="left" vertical="center" wrapText="1"/>
    </xf>
    <xf numFmtId="0" fontId="17" fillId="0" borderId="140" xfId="0" applyFont="1" applyBorder="1" applyAlignment="1">
      <alignment horizontal="left" vertical="center" wrapText="1"/>
    </xf>
    <xf numFmtId="0" fontId="17" fillId="0" borderId="131" xfId="0" applyFont="1" applyBorder="1" applyAlignment="1">
      <alignment horizontal="left" vertical="center" wrapText="1"/>
    </xf>
    <xf numFmtId="0" fontId="17" fillId="0" borderId="141" xfId="0" applyFont="1" applyBorder="1" applyAlignment="1">
      <alignment horizontal="left" vertical="center" wrapText="1"/>
    </xf>
    <xf numFmtId="0" fontId="17" fillId="0" borderId="133" xfId="0" applyFont="1" applyBorder="1" applyAlignment="1">
      <alignment horizontal="left" vertical="center" wrapText="1"/>
    </xf>
    <xf numFmtId="0" fontId="17" fillId="0" borderId="100" xfId="0" applyFont="1" applyBorder="1" applyAlignment="1">
      <alignment horizontal="left" vertical="center" wrapText="1"/>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17" fillId="0" borderId="101" xfId="0" applyFont="1" applyBorder="1" applyAlignment="1">
      <alignment horizontal="center" vertical="center"/>
    </xf>
    <xf numFmtId="0" fontId="17" fillId="0" borderId="9" xfId="0" applyFont="1" applyBorder="1" applyAlignment="1">
      <alignment horizontal="center" vertical="center"/>
    </xf>
    <xf numFmtId="0" fontId="17" fillId="0" borderId="100" xfId="0" applyFont="1" applyBorder="1" applyAlignment="1">
      <alignment horizontal="center" vertical="center"/>
    </xf>
    <xf numFmtId="0" fontId="17" fillId="0" borderId="96" xfId="0" applyFont="1" applyBorder="1" applyAlignment="1">
      <alignment horizontal="center" vertical="center"/>
    </xf>
    <xf numFmtId="0" fontId="17" fillId="0" borderId="138"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45" xfId="0" applyFont="1" applyBorder="1" applyAlignment="1">
      <alignment horizontal="center" vertical="center" wrapText="1"/>
    </xf>
    <xf numFmtId="164" fontId="71" fillId="8" borderId="46" xfId="3" applyFont="1" applyFill="1" applyBorder="1" applyAlignment="1">
      <alignment horizontal="center" vertical="center" wrapText="1"/>
    </xf>
    <xf numFmtId="164" fontId="71" fillId="8" borderId="0" xfId="3" applyFont="1" applyFill="1" applyBorder="1" applyAlignment="1">
      <alignment horizontal="center" vertical="center" wrapText="1"/>
    </xf>
    <xf numFmtId="0" fontId="17" fillId="0" borderId="7" xfId="0" applyFont="1" applyBorder="1" applyAlignment="1">
      <alignment horizontal="left" vertical="center" wrapText="1"/>
    </xf>
    <xf numFmtId="0" fontId="17" fillId="0" borderId="4" xfId="0" applyFont="1" applyBorder="1" applyAlignment="1">
      <alignment horizontal="left" vertical="center" wrapText="1"/>
    </xf>
    <xf numFmtId="0" fontId="17" fillId="0" borderId="101" xfId="0" applyFont="1" applyBorder="1" applyAlignment="1">
      <alignment horizontal="left" vertical="center" wrapText="1"/>
    </xf>
    <xf numFmtId="0" fontId="17" fillId="0" borderId="0" xfId="0" applyFont="1" applyAlignment="1">
      <alignment horizontal="left" vertical="center" wrapText="1"/>
    </xf>
    <xf numFmtId="0" fontId="17" fillId="0" borderId="3" xfId="0" applyFont="1" applyBorder="1" applyAlignment="1">
      <alignment horizontal="left" vertical="center" wrapText="1"/>
    </xf>
    <xf numFmtId="0" fontId="17" fillId="0" borderId="10" xfId="0" applyFont="1" applyBorder="1" applyAlignment="1">
      <alignment horizontal="left" vertical="center" wrapText="1"/>
    </xf>
    <xf numFmtId="0" fontId="17" fillId="0" borderId="96" xfId="0" applyFont="1" applyBorder="1" applyAlignment="1">
      <alignment horizontal="left" vertical="center" wrapText="1"/>
    </xf>
    <xf numFmtId="0" fontId="17" fillId="0" borderId="143" xfId="0" applyFont="1" applyBorder="1" applyAlignment="1">
      <alignment horizontal="center" vertical="center"/>
    </xf>
    <xf numFmtId="0" fontId="17" fillId="0" borderId="141" xfId="0" applyFont="1" applyBorder="1" applyAlignment="1">
      <alignment horizontal="center" vertical="center"/>
    </xf>
    <xf numFmtId="0" fontId="17" fillId="0" borderId="144" xfId="0" applyFont="1" applyBorder="1" applyAlignment="1">
      <alignment horizontal="center" vertical="center"/>
    </xf>
    <xf numFmtId="164" fontId="71" fillId="8" borderId="8" xfId="3" applyFont="1" applyFill="1" applyBorder="1" applyAlignment="1">
      <alignment horizontal="center" vertical="center" wrapText="1"/>
    </xf>
    <xf numFmtId="164" fontId="71" fillId="8" borderId="99" xfId="3" applyFont="1" applyFill="1" applyBorder="1" applyAlignment="1">
      <alignment horizontal="center" vertical="center" wrapText="1"/>
    </xf>
    <xf numFmtId="164" fontId="71" fillId="8" borderId="98" xfId="3" applyFont="1" applyFill="1" applyBorder="1" applyAlignment="1">
      <alignment horizontal="center" vertical="center" wrapText="1"/>
    </xf>
    <xf numFmtId="0" fontId="17" fillId="0" borderId="8" xfId="0" applyFont="1" applyBorder="1" applyAlignment="1">
      <alignment horizontal="left" vertical="center" wrapText="1"/>
    </xf>
    <xf numFmtId="0" fontId="17" fillId="0" borderId="99" xfId="0" applyFont="1" applyBorder="1" applyAlignment="1">
      <alignment horizontal="left" vertical="center" wrapText="1"/>
    </xf>
    <xf numFmtId="0" fontId="17" fillId="0" borderId="98" xfId="0" applyFont="1" applyBorder="1" applyAlignment="1">
      <alignment horizontal="left" vertical="center" wrapText="1"/>
    </xf>
    <xf numFmtId="164" fontId="18" fillId="0" borderId="0" xfId="3" applyFont="1" applyFill="1" applyBorder="1" applyAlignment="1">
      <alignment horizontal="center" vertical="center" wrapText="1"/>
    </xf>
    <xf numFmtId="164" fontId="18" fillId="0" borderId="10" xfId="3" applyFont="1" applyFill="1" applyBorder="1" applyAlignment="1">
      <alignment horizontal="center" vertical="center" wrapText="1"/>
    </xf>
    <xf numFmtId="0" fontId="17" fillId="0" borderId="7" xfId="0" applyFont="1" applyBorder="1" applyAlignment="1">
      <alignment horizontal="left" vertical="center"/>
    </xf>
    <xf numFmtId="0" fontId="17" fillId="0" borderId="11" xfId="0" applyFont="1" applyBorder="1" applyAlignment="1">
      <alignment horizontal="left" vertical="center"/>
    </xf>
    <xf numFmtId="0" fontId="17" fillId="0" borderId="146" xfId="0" applyFont="1" applyBorder="1" applyAlignment="1">
      <alignment horizontal="left" vertical="center" wrapText="1"/>
    </xf>
    <xf numFmtId="0" fontId="17" fillId="0" borderId="147" xfId="0" applyFont="1" applyBorder="1" applyAlignment="1">
      <alignment horizontal="left" vertical="center" wrapText="1"/>
    </xf>
    <xf numFmtId="0" fontId="17" fillId="0" borderId="129" xfId="0" applyFont="1" applyBorder="1" applyAlignment="1">
      <alignment horizontal="left" vertical="center" wrapText="1"/>
    </xf>
    <xf numFmtId="0" fontId="17" fillId="0" borderId="9" xfId="0" applyFont="1" applyBorder="1" applyAlignment="1">
      <alignment horizontal="left" vertical="center"/>
    </xf>
    <xf numFmtId="0" fontId="17" fillId="0" borderId="100" xfId="0" applyFont="1" applyBorder="1" applyAlignment="1">
      <alignment horizontal="left" vertical="center"/>
    </xf>
    <xf numFmtId="0" fontId="17" fillId="0" borderId="138" xfId="0" applyFont="1" applyBorder="1" applyAlignment="1">
      <alignment horizontal="center"/>
    </xf>
    <xf numFmtId="0" fontId="17" fillId="0" borderId="139" xfId="0" applyFont="1" applyBorder="1" applyAlignment="1">
      <alignment horizontal="center"/>
    </xf>
    <xf numFmtId="0" fontId="17" fillId="0" borderId="140" xfId="0" applyFont="1" applyBorder="1" applyAlignment="1">
      <alignment horizontal="center"/>
    </xf>
    <xf numFmtId="0" fontId="17" fillId="0" borderId="132" xfId="0" applyFont="1" applyBorder="1" applyAlignment="1">
      <alignment horizontal="center" vertical="center"/>
    </xf>
    <xf numFmtId="0" fontId="17" fillId="0" borderId="91" xfId="0" applyFont="1" applyBorder="1" applyAlignment="1">
      <alignment horizontal="center" vertical="center"/>
    </xf>
    <xf numFmtId="0" fontId="17" fillId="0" borderId="131" xfId="0" applyFont="1" applyBorder="1" applyAlignment="1">
      <alignment horizontal="center" vertical="center"/>
    </xf>
    <xf numFmtId="0" fontId="17" fillId="0" borderId="133" xfId="0" applyFont="1" applyBorder="1" applyAlignment="1">
      <alignment horizontal="center" vertical="center"/>
    </xf>
    <xf numFmtId="0" fontId="6" fillId="8" borderId="1" xfId="0" applyFont="1" applyFill="1" applyBorder="1" applyAlignment="1">
      <alignment horizontal="center" vertical="center" wrapText="1"/>
    </xf>
    <xf numFmtId="0" fontId="6" fillId="8" borderId="0" xfId="0" applyFont="1" applyFill="1" applyAlignment="1">
      <alignment horizontal="center" vertical="center" wrapText="1"/>
    </xf>
    <xf numFmtId="0" fontId="6" fillId="8" borderId="47" xfId="0" applyFont="1" applyFill="1" applyBorder="1" applyAlignment="1">
      <alignment horizontal="center" vertical="center" wrapText="1"/>
    </xf>
    <xf numFmtId="0" fontId="6" fillId="8" borderId="4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8" fillId="0" borderId="0" xfId="0" applyFont="1" applyAlignment="1">
      <alignment horizontal="left" vertical="center" wrapText="1"/>
    </xf>
    <xf numFmtId="2" fontId="1" fillId="0" borderId="101" xfId="0" applyNumberFormat="1" applyFont="1" applyBorder="1" applyAlignment="1">
      <alignment horizontal="center" vertical="center" wrapText="1"/>
    </xf>
    <xf numFmtId="2" fontId="1" fillId="0" borderId="96" xfId="0" applyNumberFormat="1" applyFont="1" applyBorder="1" applyAlignment="1">
      <alignment horizontal="center" vertical="center" wrapText="1"/>
    </xf>
    <xf numFmtId="2" fontId="1" fillId="0" borderId="91" xfId="0" applyNumberFormat="1" applyFont="1" applyBorder="1" applyAlignment="1">
      <alignment horizontal="center" vertical="center" wrapText="1"/>
    </xf>
    <xf numFmtId="2" fontId="1" fillId="0" borderId="93" xfId="0" applyNumberFormat="1" applyFont="1" applyBorder="1" applyAlignment="1">
      <alignment horizontal="center" vertical="center" wrapText="1"/>
    </xf>
    <xf numFmtId="2" fontId="5" fillId="0" borderId="115" xfId="0" applyNumberFormat="1" applyFont="1" applyBorder="1" applyAlignment="1">
      <alignment horizontal="center" vertical="center" wrapText="1"/>
    </xf>
    <xf numFmtId="2" fontId="5" fillId="0" borderId="114" xfId="0" applyNumberFormat="1" applyFont="1" applyBorder="1" applyAlignment="1">
      <alignment horizontal="center" vertical="center" wrapText="1"/>
    </xf>
    <xf numFmtId="0" fontId="10" fillId="0" borderId="0" xfId="0" applyFont="1" applyAlignment="1">
      <alignment horizontal="left" vertical="center"/>
    </xf>
    <xf numFmtId="0" fontId="1" fillId="0" borderId="5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2" fontId="1" fillId="0" borderId="5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12"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5" fillId="0" borderId="50"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2" fontId="1" fillId="10" borderId="50" xfId="0" applyNumberFormat="1" applyFont="1" applyFill="1" applyBorder="1" applyAlignment="1">
      <alignment horizontal="center" vertical="center" wrapText="1"/>
    </xf>
    <xf numFmtId="2" fontId="1" fillId="10" borderId="11" xfId="0" applyNumberFormat="1" applyFont="1" applyFill="1" applyBorder="1" applyAlignment="1">
      <alignment horizontal="center" vertical="center" wrapText="1"/>
    </xf>
    <xf numFmtId="2" fontId="5" fillId="10" borderId="0" xfId="0" applyNumberFormat="1" applyFont="1" applyFill="1" applyAlignment="1">
      <alignment horizontal="center" vertical="center" wrapText="1"/>
    </xf>
    <xf numFmtId="2" fontId="5" fillId="10" borderId="10"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0" fontId="1" fillId="0" borderId="106" xfId="0" applyFont="1" applyBorder="1" applyAlignment="1">
      <alignment horizontal="center" vertical="center" wrapText="1"/>
    </xf>
    <xf numFmtId="2" fontId="1" fillId="0" borderId="11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5" fillId="0" borderId="113" xfId="0" applyNumberFormat="1" applyFont="1" applyBorder="1" applyAlignment="1">
      <alignment horizontal="center" vertical="center" wrapText="1"/>
    </xf>
    <xf numFmtId="2" fontId="5" fillId="0" borderId="97" xfId="0" applyNumberFormat="1" applyFont="1" applyBorder="1" applyAlignment="1">
      <alignment horizontal="center" vertical="center" wrapText="1"/>
    </xf>
    <xf numFmtId="2" fontId="5" fillId="0" borderId="95" xfId="0" applyNumberFormat="1" applyFont="1" applyBorder="1" applyAlignment="1">
      <alignment horizontal="center" vertical="center" wrapText="1"/>
    </xf>
    <xf numFmtId="2" fontId="5" fillId="0" borderId="86" xfId="0" applyNumberFormat="1" applyFont="1" applyBorder="1" applyAlignment="1">
      <alignment horizontal="center" vertical="center" wrapText="1"/>
    </xf>
    <xf numFmtId="2" fontId="5" fillId="0" borderId="84" xfId="0" applyNumberFormat="1" applyFont="1" applyBorder="1" applyAlignment="1">
      <alignment horizontal="center" vertical="center" wrapText="1"/>
    </xf>
    <xf numFmtId="4" fontId="5" fillId="0" borderId="86"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11" xfId="0" applyNumberFormat="1" applyFont="1" applyBorder="1" applyAlignment="1">
      <alignment horizontal="center" vertical="center" wrapText="1"/>
    </xf>
    <xf numFmtId="4" fontId="5" fillId="0" borderId="92" xfId="0" applyNumberFormat="1" applyFont="1" applyBorder="1" applyAlignment="1">
      <alignment horizontal="center" vertical="center" wrapText="1"/>
    </xf>
    <xf numFmtId="4" fontId="5" fillId="0" borderId="100" xfId="0" applyNumberFormat="1" applyFont="1" applyBorder="1" applyAlignment="1">
      <alignment horizontal="center" vertical="center" wrapText="1"/>
    </xf>
    <xf numFmtId="4" fontId="5" fillId="0" borderId="93" xfId="0" applyNumberFormat="1" applyFont="1" applyBorder="1" applyAlignment="1">
      <alignment horizontal="center" vertical="center" wrapText="1"/>
    </xf>
    <xf numFmtId="4" fontId="5" fillId="0" borderId="84" xfId="0" applyNumberFormat="1" applyFont="1" applyBorder="1" applyAlignment="1">
      <alignment horizontal="center" vertical="center" wrapText="1"/>
    </xf>
    <xf numFmtId="4" fontId="5" fillId="0" borderId="9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1" fillId="0" borderId="10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6" xfId="0" applyFont="1" applyBorder="1" applyAlignment="1">
      <alignment horizontal="center" vertical="center" wrapText="1"/>
    </xf>
    <xf numFmtId="4" fontId="5" fillId="0" borderId="50"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109" xfId="0" applyNumberFormat="1" applyFont="1" applyBorder="1" applyAlignment="1">
      <alignment horizontal="center" vertical="center" wrapText="1"/>
    </xf>
    <xf numFmtId="4" fontId="5" fillId="10" borderId="88" xfId="0" applyNumberFormat="1" applyFont="1" applyFill="1" applyBorder="1" applyAlignment="1">
      <alignment horizontal="center" vertical="center" wrapText="1"/>
    </xf>
    <xf numFmtId="4" fontId="5" fillId="10" borderId="89" xfId="0" applyNumberFormat="1" applyFont="1" applyFill="1" applyBorder="1" applyAlignment="1">
      <alignment horizontal="center" vertical="center" wrapText="1"/>
    </xf>
    <xf numFmtId="4" fontId="5" fillId="10" borderId="100" xfId="0" applyNumberFormat="1" applyFont="1" applyFill="1" applyBorder="1" applyAlignment="1">
      <alignment horizontal="center" vertical="center" wrapText="1"/>
    </xf>
    <xf numFmtId="4" fontId="5" fillId="10" borderId="10" xfId="0" applyNumberFormat="1" applyFont="1" applyFill="1" applyBorder="1" applyAlignment="1">
      <alignment horizontal="center" vertical="center" wrapText="1"/>
    </xf>
    <xf numFmtId="4" fontId="5" fillId="0" borderId="9" xfId="0" applyNumberFormat="1" applyFont="1" applyBorder="1" applyAlignment="1">
      <alignment horizontal="center" vertical="center" wrapText="1"/>
    </xf>
    <xf numFmtId="2" fontId="5" fillId="0" borderId="106" xfId="0" applyNumberFormat="1" applyFont="1" applyBorder="1" applyAlignment="1">
      <alignment horizontal="center" vertical="center" wrapText="1"/>
    </xf>
    <xf numFmtId="4" fontId="5" fillId="10" borderId="81" xfId="0" applyNumberFormat="1" applyFont="1" applyFill="1" applyBorder="1" applyAlignment="1">
      <alignment horizontal="center" vertical="center" wrapText="1"/>
    </xf>
    <xf numFmtId="4" fontId="5" fillId="10" borderId="108" xfId="0" applyNumberFormat="1" applyFont="1" applyFill="1" applyBorder="1" applyAlignment="1">
      <alignment horizontal="center" vertical="center" wrapText="1"/>
    </xf>
    <xf numFmtId="4" fontId="5" fillId="10" borderId="109" xfId="0" applyNumberFormat="1"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0" borderId="9" xfId="0" applyFont="1" applyBorder="1" applyAlignment="1">
      <alignment horizontal="center" vertical="center" wrapText="1"/>
    </xf>
    <xf numFmtId="2" fontId="5" fillId="10" borderId="106" xfId="0" applyNumberFormat="1" applyFont="1" applyFill="1" applyBorder="1" applyAlignment="1">
      <alignment horizontal="center" vertical="center" wrapText="1"/>
    </xf>
    <xf numFmtId="2" fontId="5" fillId="10" borderId="7" xfId="0" applyNumberFormat="1" applyFont="1" applyFill="1" applyBorder="1" applyAlignment="1">
      <alignment horizontal="center" vertical="center" wrapText="1"/>
    </xf>
    <xf numFmtId="2" fontId="5" fillId="10" borderId="11" xfId="0" applyNumberFormat="1" applyFont="1" applyFill="1" applyBorder="1" applyAlignment="1">
      <alignment horizontal="center" vertical="center" wrapText="1"/>
    </xf>
    <xf numFmtId="2" fontId="5" fillId="10" borderId="50" xfId="0" applyNumberFormat="1" applyFont="1" applyFill="1" applyBorder="1" applyAlignment="1">
      <alignment horizontal="center" vertical="center" wrapText="1"/>
    </xf>
    <xf numFmtId="2" fontId="1" fillId="10" borderId="106" xfId="0" applyNumberFormat="1" applyFont="1" applyFill="1" applyBorder="1" applyAlignment="1">
      <alignment horizontal="center" vertical="center" wrapText="1"/>
    </xf>
    <xf numFmtId="2" fontId="1" fillId="10" borderId="116" xfId="0" applyNumberFormat="1" applyFont="1" applyFill="1" applyBorder="1" applyAlignment="1">
      <alignment horizontal="center" vertical="center" wrapText="1"/>
    </xf>
    <xf numFmtId="2" fontId="1" fillId="10" borderId="96" xfId="0" applyNumberFormat="1" applyFont="1" applyFill="1" applyBorder="1" applyAlignment="1">
      <alignment horizontal="center" vertical="center" wrapText="1"/>
    </xf>
    <xf numFmtId="2" fontId="5" fillId="10" borderId="110" xfId="0" applyNumberFormat="1" applyFont="1" applyFill="1" applyBorder="1" applyAlignment="1">
      <alignment horizontal="center" vertical="center" wrapText="1"/>
    </xf>
    <xf numFmtId="2" fontId="1" fillId="10" borderId="7" xfId="0" applyNumberFormat="1" applyFont="1" applyFill="1" applyBorder="1" applyAlignment="1">
      <alignment horizontal="center" vertical="center" wrapText="1"/>
    </xf>
    <xf numFmtId="2" fontId="1" fillId="10" borderId="101" xfId="0" applyNumberFormat="1" applyFont="1" applyFill="1" applyBorder="1" applyAlignment="1">
      <alignment horizontal="center" vertical="center" wrapText="1"/>
    </xf>
    <xf numFmtId="2" fontId="1" fillId="10" borderId="3" xfId="0" applyNumberFormat="1" applyFont="1" applyFill="1" applyBorder="1" applyAlignment="1">
      <alignment horizontal="center" vertical="center" wrapText="1"/>
    </xf>
    <xf numFmtId="2" fontId="5" fillId="10" borderId="6" xfId="0" applyNumberFormat="1" applyFont="1" applyFill="1" applyBorder="1" applyAlignment="1">
      <alignment horizontal="center" vertical="center" wrapText="1"/>
    </xf>
    <xf numFmtId="2" fontId="5" fillId="10" borderId="100"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01" xfId="0" applyNumberFormat="1" applyFont="1" applyBorder="1" applyAlignment="1">
      <alignment horizontal="center" vertical="center" wrapText="1"/>
    </xf>
    <xf numFmtId="4" fontId="5" fillId="0" borderId="96" xfId="0" applyNumberFormat="1" applyFont="1" applyBorder="1" applyAlignment="1">
      <alignment horizontal="center" vertical="center" wrapText="1"/>
    </xf>
    <xf numFmtId="2" fontId="5" fillId="0" borderId="101" xfId="0" applyNumberFormat="1" applyFont="1" applyBorder="1" applyAlignment="1">
      <alignment horizontal="center" vertical="center" wrapText="1"/>
    </xf>
    <xf numFmtId="2" fontId="5" fillId="0" borderId="96" xfId="0" applyNumberFormat="1" applyFont="1" applyBorder="1" applyAlignment="1">
      <alignment horizontal="center" vertical="center" wrapText="1"/>
    </xf>
    <xf numFmtId="4" fontId="5" fillId="10" borderId="116" xfId="0" applyNumberFormat="1" applyFont="1" applyFill="1" applyBorder="1" applyAlignment="1">
      <alignment horizontal="center" vertical="center" wrapText="1"/>
    </xf>
    <xf numFmtId="4" fontId="5" fillId="10" borderId="96" xfId="0" applyNumberFormat="1" applyFont="1" applyFill="1" applyBorder="1" applyAlignment="1">
      <alignment horizontal="center" vertical="center" wrapText="1"/>
    </xf>
  </cellXfs>
  <cellStyles count="8">
    <cellStyle name="Lien hypertexte" xfId="5" builtinId="8"/>
    <cellStyle name="Milliers" xfId="3" builtinId="3"/>
    <cellStyle name="Normal" xfId="0" builtinId="0"/>
    <cellStyle name="Normal 11 10" xfId="2" xr:uid="{00000000-0005-0000-0000-000003000000}"/>
    <cellStyle name="Normal 12" xfId="6" xr:uid="{00000000-0005-0000-0000-000004000000}"/>
    <cellStyle name="Normal 2" xfId="7" xr:uid="{2E266746-938A-4FB8-BB7D-9D5F40091F85}"/>
    <cellStyle name="Pourcentage" xfId="1" builtinId="5"/>
    <cellStyle name="Pourcentage 3" xfId="4" xr:uid="{00000000-0005-0000-0000-000006000000}"/>
  </cellStyles>
  <dxfs count="3">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s>
  <tableStyles count="0" defaultTableStyle="TableStyleMedium2" defaultPivotStyle="PivotStyleMedium9"/>
  <colors>
    <mruColors>
      <color rgb="FF009AAA"/>
      <color rgb="FF008499"/>
      <color rgb="FF42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2" dT="2023-04-19T13:43:44.00" personId="{00000000-0000-0000-0000-000000000000}" id="{71D5094B-ADAE-4231-BA46-2B8FE73BB929}">
    <text>Pour 2022, 100% au CRCP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see.fr/fr/statistiques/serie/00176385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F28"/>
  <sheetViews>
    <sheetView zoomScale="85" zoomScaleNormal="85" workbookViewId="0">
      <selection activeCell="D2" sqref="D2:E2"/>
    </sheetView>
  </sheetViews>
  <sheetFormatPr baseColWidth="10" defaultColWidth="11.28515625" defaultRowHeight="15" x14ac:dyDescent="0.25"/>
  <cols>
    <col min="2" max="2" width="2.140625" bestFit="1" customWidth="1"/>
    <col min="3" max="3" width="27.28515625" bestFit="1" customWidth="1"/>
    <col min="4" max="4" width="122.28515625" customWidth="1"/>
    <col min="5" max="5" width="34" customWidth="1"/>
  </cols>
  <sheetData>
    <row r="1" spans="2:5" x14ac:dyDescent="0.25">
      <c r="C1" s="607" t="s">
        <v>0</v>
      </c>
      <c r="D1" s="607"/>
    </row>
    <row r="2" spans="2:5" ht="101.25" customHeight="1" x14ac:dyDescent="0.25">
      <c r="C2" s="3" t="s">
        <v>1</v>
      </c>
      <c r="D2" s="609" t="s">
        <v>361</v>
      </c>
      <c r="E2" s="609"/>
    </row>
    <row r="3" spans="2:5" ht="15.75" thickBot="1" x14ac:dyDescent="0.3"/>
    <row r="4" spans="2:5" ht="17.25" thickBot="1" x14ac:dyDescent="0.3">
      <c r="B4" s="9"/>
      <c r="C4" s="10" t="s">
        <v>2</v>
      </c>
      <c r="D4" s="11" t="s">
        <v>3</v>
      </c>
      <c r="E4" s="12"/>
    </row>
    <row r="5" spans="2:5" ht="15.75" thickBot="1" x14ac:dyDescent="0.3">
      <c r="B5" s="257"/>
      <c r="C5" s="257"/>
      <c r="D5" s="257"/>
      <c r="E5" s="257"/>
    </row>
    <row r="6" spans="2:5" ht="32.25" thickBot="1" x14ac:dyDescent="0.3">
      <c r="B6" s="257"/>
      <c r="C6" s="103" t="s">
        <v>4</v>
      </c>
      <c r="D6" s="104" t="s">
        <v>351</v>
      </c>
      <c r="E6" s="105" t="s">
        <v>5</v>
      </c>
    </row>
    <row r="7" spans="2:5" ht="32.25" thickBot="1" x14ac:dyDescent="0.3">
      <c r="B7" s="257"/>
      <c r="C7" s="13" t="s">
        <v>6</v>
      </c>
      <c r="D7" s="24" t="s">
        <v>352</v>
      </c>
      <c r="E7" s="23" t="s">
        <v>7</v>
      </c>
    </row>
    <row r="8" spans="2:5" ht="32.25" thickBot="1" x14ac:dyDescent="0.3">
      <c r="B8" s="257"/>
      <c r="C8" s="13" t="s">
        <v>8</v>
      </c>
      <c r="D8" s="24" t="s">
        <v>353</v>
      </c>
      <c r="E8" s="23" t="s">
        <v>7</v>
      </c>
    </row>
    <row r="9" spans="2:5" ht="48" thickBot="1" x14ac:dyDescent="0.3">
      <c r="B9" s="257"/>
      <c r="C9" s="22" t="s">
        <v>9</v>
      </c>
      <c r="D9" s="25" t="s">
        <v>354</v>
      </c>
      <c r="E9" s="26" t="s">
        <v>10</v>
      </c>
    </row>
    <row r="10" spans="2:5" ht="16.5" thickBot="1" x14ac:dyDescent="0.3">
      <c r="B10" s="257"/>
      <c r="C10" s="102" t="s">
        <v>11</v>
      </c>
      <c r="D10" s="27" t="s">
        <v>355</v>
      </c>
      <c r="E10" s="28" t="s">
        <v>12</v>
      </c>
    </row>
    <row r="11" spans="2:5" ht="16.5" thickBot="1" x14ac:dyDescent="0.3">
      <c r="B11" s="257"/>
      <c r="C11" s="14" t="s">
        <v>13</v>
      </c>
      <c r="D11" s="27" t="s">
        <v>14</v>
      </c>
      <c r="E11" s="28" t="s">
        <v>5</v>
      </c>
    </row>
    <row r="12" spans="2:5" ht="16.5" thickBot="1" x14ac:dyDescent="0.3">
      <c r="B12" s="257"/>
      <c r="C12" s="14" t="s">
        <v>15</v>
      </c>
      <c r="D12" s="27" t="s">
        <v>16</v>
      </c>
      <c r="E12" s="28" t="s">
        <v>5</v>
      </c>
    </row>
    <row r="13" spans="2:5" ht="16.5" thickBot="1" x14ac:dyDescent="0.3">
      <c r="B13" s="257"/>
      <c r="C13" s="14" t="s">
        <v>17</v>
      </c>
      <c r="D13" s="27" t="s">
        <v>18</v>
      </c>
      <c r="E13" s="28" t="s">
        <v>5</v>
      </c>
    </row>
    <row r="14" spans="2:5" ht="16.5" thickBot="1" x14ac:dyDescent="0.3">
      <c r="B14" s="257"/>
      <c r="C14" s="14" t="s">
        <v>19</v>
      </c>
      <c r="D14" s="27" t="s">
        <v>20</v>
      </c>
      <c r="E14" s="28" t="s">
        <v>5</v>
      </c>
    </row>
    <row r="15" spans="2:5" ht="32.25" thickBot="1" x14ac:dyDescent="0.3">
      <c r="B15" s="257"/>
      <c r="C15" s="14" t="s">
        <v>21</v>
      </c>
      <c r="D15" s="27" t="s">
        <v>22</v>
      </c>
      <c r="E15" s="28" t="s">
        <v>5</v>
      </c>
    </row>
    <row r="16" spans="2:5" ht="32.25" thickBot="1" x14ac:dyDescent="0.3">
      <c r="B16" s="257"/>
      <c r="C16" s="14" t="s">
        <v>23</v>
      </c>
      <c r="D16" s="27" t="s">
        <v>24</v>
      </c>
      <c r="E16" s="28" t="s">
        <v>5</v>
      </c>
    </row>
    <row r="17" spans="2:6" ht="16.5" thickBot="1" x14ac:dyDescent="0.3">
      <c r="B17" s="257"/>
      <c r="C17" s="14" t="s">
        <v>25</v>
      </c>
      <c r="D17" s="27" t="s">
        <v>26</v>
      </c>
      <c r="E17" s="28" t="s">
        <v>5</v>
      </c>
    </row>
    <row r="18" spans="2:6" ht="16.5" thickBot="1" x14ac:dyDescent="0.3">
      <c r="B18" s="257"/>
      <c r="C18" s="14" t="s">
        <v>27</v>
      </c>
      <c r="D18" s="27" t="s">
        <v>28</v>
      </c>
      <c r="E18" s="28" t="s">
        <v>5</v>
      </c>
    </row>
    <row r="19" spans="2:6" ht="16.5" thickBot="1" x14ac:dyDescent="0.3">
      <c r="B19" s="257"/>
      <c r="C19" s="14" t="s">
        <v>29</v>
      </c>
      <c r="D19" s="27" t="s">
        <v>30</v>
      </c>
      <c r="E19" s="28" t="s">
        <v>5</v>
      </c>
    </row>
    <row r="20" spans="2:6" ht="16.5" thickBot="1" x14ac:dyDescent="0.3">
      <c r="B20" s="257"/>
      <c r="C20" s="14" t="s">
        <v>31</v>
      </c>
      <c r="D20" s="27" t="s">
        <v>32</v>
      </c>
      <c r="E20" s="28" t="s">
        <v>5</v>
      </c>
    </row>
    <row r="21" spans="2:6" ht="16.5" thickBot="1" x14ac:dyDescent="0.3">
      <c r="B21" s="257"/>
      <c r="C21" s="14" t="s">
        <v>33</v>
      </c>
      <c r="D21" s="27" t="s">
        <v>34</v>
      </c>
      <c r="E21" s="28" t="s">
        <v>5</v>
      </c>
    </row>
    <row r="22" spans="2:6" ht="15.75" thickBot="1" x14ac:dyDescent="0.3">
      <c r="C22" s="4"/>
      <c r="D22" s="4"/>
      <c r="E22" s="4"/>
    </row>
    <row r="23" spans="2:6" ht="17.25" thickBot="1" x14ac:dyDescent="0.3">
      <c r="C23" s="17" t="s">
        <v>35</v>
      </c>
      <c r="D23" s="19" t="s">
        <v>36</v>
      </c>
      <c r="E23" s="19" t="s">
        <v>2</v>
      </c>
      <c r="F23" s="18" t="s">
        <v>37</v>
      </c>
    </row>
    <row r="24" spans="2:6" ht="16.5" thickBot="1" x14ac:dyDescent="0.3">
      <c r="C24" s="608" t="s">
        <v>38</v>
      </c>
      <c r="D24" s="20" t="s">
        <v>39</v>
      </c>
      <c r="E24" s="13" t="s">
        <v>6</v>
      </c>
      <c r="F24" s="15" t="s">
        <v>40</v>
      </c>
    </row>
    <row r="25" spans="2:6" ht="32.25" thickBot="1" x14ac:dyDescent="0.3">
      <c r="C25" s="608"/>
      <c r="D25" s="20" t="s">
        <v>356</v>
      </c>
      <c r="E25" s="13" t="s">
        <v>8</v>
      </c>
      <c r="F25" s="21" t="s">
        <v>41</v>
      </c>
    </row>
    <row r="26" spans="2:6" ht="16.5" thickBot="1" x14ac:dyDescent="0.3">
      <c r="C26" s="608" t="s">
        <v>357</v>
      </c>
      <c r="D26" s="20" t="s">
        <v>42</v>
      </c>
      <c r="E26" s="22" t="s">
        <v>9</v>
      </c>
      <c r="F26" s="16" t="s">
        <v>43</v>
      </c>
    </row>
    <row r="27" spans="2:6" ht="32.25" thickBot="1" x14ac:dyDescent="0.3">
      <c r="C27" s="608"/>
      <c r="D27" s="20" t="s">
        <v>44</v>
      </c>
      <c r="E27" s="22" t="s">
        <v>9</v>
      </c>
      <c r="F27" s="21" t="s">
        <v>45</v>
      </c>
    </row>
    <row r="28" spans="2:6" ht="35.25" customHeight="1" thickBot="1" x14ac:dyDescent="0.3">
      <c r="C28" s="608"/>
      <c r="D28" s="20" t="s">
        <v>358</v>
      </c>
      <c r="E28" s="14" t="s">
        <v>11</v>
      </c>
      <c r="F28" s="21" t="s">
        <v>46</v>
      </c>
    </row>
  </sheetData>
  <mergeCells count="4">
    <mergeCell ref="C1:D1"/>
    <mergeCell ref="C24:C25"/>
    <mergeCell ref="C26:C28"/>
    <mergeCell ref="D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N17"/>
  <sheetViews>
    <sheetView workbookViewId="0">
      <pane xSplit="1" ySplit="2" topLeftCell="B3" activePane="bottomRight" state="frozen"/>
      <selection pane="topRight" activeCell="B1" sqref="B1"/>
      <selection pane="bottomLeft" activeCell="A4" sqref="A4"/>
      <selection pane="bottomRight" activeCell="D11" sqref="D11"/>
    </sheetView>
  </sheetViews>
  <sheetFormatPr baseColWidth="10" defaultColWidth="11.28515625" defaultRowHeight="15" x14ac:dyDescent="0.25"/>
  <cols>
    <col min="1" max="1" width="17.7109375" customWidth="1"/>
    <col min="2" max="2" width="3.7109375" customWidth="1"/>
    <col min="3" max="4" width="15.7109375" customWidth="1"/>
    <col min="5" max="5" width="3.85546875" customWidth="1"/>
  </cols>
  <sheetData>
    <row r="1" spans="1:14" x14ac:dyDescent="0.25">
      <c r="C1" s="1" t="s">
        <v>0</v>
      </c>
      <c r="D1" s="1"/>
    </row>
    <row r="2" spans="1:14" ht="45.75" customHeight="1" x14ac:dyDescent="0.25">
      <c r="C2" s="714" t="s">
        <v>167</v>
      </c>
      <c r="D2" s="714"/>
      <c r="E2" s="714"/>
      <c r="F2" s="714"/>
      <c r="G2" s="714"/>
      <c r="H2" s="714"/>
      <c r="I2" s="714"/>
      <c r="J2" s="714"/>
      <c r="K2" s="714"/>
      <c r="L2" s="714"/>
      <c r="M2" s="714"/>
      <c r="N2" s="714"/>
    </row>
    <row r="4" spans="1:14" ht="75" customHeight="1" x14ac:dyDescent="0.25">
      <c r="C4" s="707" t="s">
        <v>233</v>
      </c>
      <c r="D4" s="708"/>
    </row>
    <row r="5" spans="1:14" ht="15.75" thickBot="1" x14ac:dyDescent="0.3"/>
    <row r="6" spans="1:14" ht="27.75" thickBot="1" x14ac:dyDescent="0.3">
      <c r="C6" s="63" t="s">
        <v>157</v>
      </c>
      <c r="D6" s="65" t="s">
        <v>168</v>
      </c>
    </row>
    <row r="7" spans="1:14" ht="27.75" thickBot="1" x14ac:dyDescent="0.3">
      <c r="A7" s="194" t="s">
        <v>211</v>
      </c>
      <c r="B7" s="230"/>
      <c r="C7" s="276" t="s">
        <v>123</v>
      </c>
      <c r="D7" s="279">
        <f>'Grille tarifaire'!I12</f>
        <v>0.33</v>
      </c>
    </row>
    <row r="8" spans="1:14" ht="15.75" thickBot="1" x14ac:dyDescent="0.3">
      <c r="A8" s="88"/>
      <c r="C8" s="228"/>
      <c r="D8" s="228"/>
    </row>
    <row r="9" spans="1:14" ht="27.75" thickBot="1" x14ac:dyDescent="0.3">
      <c r="A9" s="194" t="s">
        <v>209</v>
      </c>
      <c r="C9" s="275" t="s">
        <v>123</v>
      </c>
      <c r="D9" s="280">
        <f>'Grille tarifaire'!J12</f>
        <v>0.33</v>
      </c>
    </row>
    <row r="10" spans="1:14" ht="15.75" thickBot="1" x14ac:dyDescent="0.3">
      <c r="A10" s="90"/>
      <c r="C10" s="6"/>
      <c r="D10" s="91"/>
    </row>
    <row r="11" spans="1:14" ht="27.75" thickBot="1" x14ac:dyDescent="0.3">
      <c r="A11" s="195" t="s">
        <v>210</v>
      </c>
      <c r="C11" s="275" t="s">
        <v>123</v>
      </c>
      <c r="D11" s="280">
        <f>'Grille tarifaire'!K12</f>
        <v>0.35</v>
      </c>
    </row>
    <row r="12" spans="1:14" ht="15.75" thickBot="1" x14ac:dyDescent="0.3">
      <c r="A12" s="89"/>
      <c r="C12" s="6"/>
      <c r="D12" s="91"/>
    </row>
    <row r="13" spans="1:14" ht="27.75" thickBot="1" x14ac:dyDescent="0.3">
      <c r="A13" s="194" t="s">
        <v>212</v>
      </c>
      <c r="C13" s="275" t="s">
        <v>123</v>
      </c>
      <c r="D13" s="280">
        <f>'Grille tarifaire'!L12</f>
        <v>0.36</v>
      </c>
    </row>
    <row r="14" spans="1:14" x14ac:dyDescent="0.25">
      <c r="C14" s="6"/>
      <c r="D14" s="6"/>
    </row>
    <row r="15" spans="1:14" x14ac:dyDescent="0.25">
      <c r="A15" s="88"/>
    </row>
    <row r="16" spans="1:14" x14ac:dyDescent="0.25">
      <c r="A16" s="88"/>
    </row>
    <row r="17" spans="1:1" x14ac:dyDescent="0.25">
      <c r="A17" s="88"/>
    </row>
  </sheetData>
  <mergeCells count="2">
    <mergeCell ref="C2:N2"/>
    <mergeCell ref="C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W19"/>
  <sheetViews>
    <sheetView zoomScale="90" zoomScaleNormal="90" workbookViewId="0">
      <pane xSplit="1" ySplit="2" topLeftCell="B3" activePane="bottomRight" state="frozen"/>
      <selection pane="topRight" activeCell="B1" sqref="B1"/>
      <selection pane="bottomLeft" activeCell="A3" sqref="A3"/>
      <selection pane="bottomRight" activeCell="D14" sqref="D14"/>
    </sheetView>
  </sheetViews>
  <sheetFormatPr baseColWidth="10" defaultColWidth="11.28515625" defaultRowHeight="15" x14ac:dyDescent="0.25"/>
  <cols>
    <col min="1" max="1" width="17.7109375" customWidth="1"/>
    <col min="2" max="2" width="3" customWidth="1"/>
    <col min="3" max="6" width="11.28515625" customWidth="1"/>
    <col min="9" max="9" width="3.140625" customWidth="1"/>
    <col min="11" max="15" width="11.28515625" customWidth="1"/>
    <col min="16" max="16" width="3.140625" customWidth="1"/>
    <col min="21" max="22" width="11.28515625" customWidth="1"/>
    <col min="23" max="23" width="25.7109375" customWidth="1"/>
  </cols>
  <sheetData>
    <row r="1" spans="1:23" x14ac:dyDescent="0.25">
      <c r="C1" s="1" t="s">
        <v>0</v>
      </c>
      <c r="V1" s="1"/>
    </row>
    <row r="2" spans="1:23" ht="48" customHeight="1" x14ac:dyDescent="0.25">
      <c r="C2" s="715" t="s">
        <v>169</v>
      </c>
      <c r="D2" s="715"/>
      <c r="E2" s="715"/>
      <c r="F2" s="715"/>
      <c r="G2" s="715"/>
      <c r="H2" s="715"/>
      <c r="I2" s="715"/>
      <c r="J2" s="715"/>
      <c r="K2" s="715"/>
      <c r="L2" s="715"/>
      <c r="M2" s="715"/>
      <c r="N2" s="715"/>
      <c r="O2" s="715"/>
      <c r="P2" s="715"/>
      <c r="Q2" s="715"/>
      <c r="R2" s="715"/>
    </row>
    <row r="3" spans="1:23" ht="48" customHeight="1" x14ac:dyDescent="0.25">
      <c r="C3" s="716" t="s">
        <v>281</v>
      </c>
      <c r="D3" s="716"/>
      <c r="E3" s="716"/>
      <c r="F3" s="716"/>
      <c r="G3" s="716"/>
      <c r="H3" s="716"/>
      <c r="I3" s="716"/>
      <c r="J3" s="716"/>
      <c r="K3" s="716"/>
      <c r="L3" s="716"/>
      <c r="M3" s="716"/>
      <c r="N3" s="716"/>
      <c r="O3" s="716"/>
      <c r="P3" s="716"/>
      <c r="Q3" s="716"/>
      <c r="R3" s="716"/>
    </row>
    <row r="5" spans="1:23" ht="42" customHeight="1" x14ac:dyDescent="0.25">
      <c r="C5" s="707" t="s">
        <v>234</v>
      </c>
      <c r="D5" s="708"/>
      <c r="E5" s="708"/>
      <c r="F5" s="708"/>
      <c r="G5" s="708"/>
      <c r="H5" s="708"/>
      <c r="J5" s="707" t="s">
        <v>235</v>
      </c>
      <c r="K5" s="708"/>
      <c r="L5" s="708"/>
      <c r="M5" s="708"/>
      <c r="N5" s="708"/>
      <c r="O5" s="708"/>
      <c r="Q5" s="707" t="s">
        <v>236</v>
      </c>
      <c r="R5" s="708"/>
      <c r="S5" s="708"/>
      <c r="T5" s="708"/>
      <c r="U5" s="708"/>
      <c r="V5" s="708"/>
    </row>
    <row r="6" spans="1:23" ht="15.75" thickBot="1" x14ac:dyDescent="0.3">
      <c r="H6" s="61"/>
      <c r="O6" s="61"/>
      <c r="V6" s="61"/>
    </row>
    <row r="7" spans="1:23" ht="54.75" thickBot="1" x14ac:dyDescent="0.3">
      <c r="C7" s="63" t="s">
        <v>170</v>
      </c>
      <c r="D7" s="65" t="s">
        <v>171</v>
      </c>
      <c r="E7" s="68" t="s">
        <v>172</v>
      </c>
      <c r="F7" s="68" t="s">
        <v>173</v>
      </c>
      <c r="G7" s="69" t="s">
        <v>174</v>
      </c>
      <c r="H7" s="65" t="s">
        <v>175</v>
      </c>
      <c r="J7" s="63" t="s">
        <v>176</v>
      </c>
      <c r="K7" s="65" t="s">
        <v>171</v>
      </c>
      <c r="L7" s="68" t="s">
        <v>172</v>
      </c>
      <c r="M7" s="68" t="s">
        <v>173</v>
      </c>
      <c r="N7" s="69" t="s">
        <v>174</v>
      </c>
      <c r="O7" s="65" t="s">
        <v>175</v>
      </c>
      <c r="Q7" s="63" t="s">
        <v>177</v>
      </c>
      <c r="R7" s="65" t="s">
        <v>171</v>
      </c>
      <c r="S7" s="68" t="s">
        <v>172</v>
      </c>
      <c r="T7" s="68" t="s">
        <v>173</v>
      </c>
      <c r="U7" s="69" t="s">
        <v>174</v>
      </c>
      <c r="V7" s="65" t="s">
        <v>175</v>
      </c>
    </row>
    <row r="8" spans="1:23" ht="68.25" thickBot="1" x14ac:dyDescent="0.3">
      <c r="A8" s="709" t="s">
        <v>211</v>
      </c>
      <c r="B8" s="230"/>
      <c r="C8" s="276" t="s">
        <v>178</v>
      </c>
      <c r="D8" s="279">
        <f>'Grille tarifaire'!I13</f>
        <v>1.43</v>
      </c>
      <c r="E8" s="279">
        <f>'Grille tarifaire'!I14</f>
        <v>1.37</v>
      </c>
      <c r="F8" s="279">
        <f>'Grille tarifaire'!I15</f>
        <v>1.35</v>
      </c>
      <c r="G8" s="279">
        <f>'Grille tarifaire'!I16</f>
        <v>1.28</v>
      </c>
      <c r="H8" s="279">
        <f>'Grille tarifaire'!I17</f>
        <v>1.05</v>
      </c>
      <c r="J8" s="276" t="s">
        <v>178</v>
      </c>
      <c r="K8" s="281">
        <f>'Grille tarifaire'!I23</f>
        <v>4.42</v>
      </c>
      <c r="L8" s="281">
        <f>'Grille tarifaire'!I24</f>
        <v>4.24</v>
      </c>
      <c r="M8" s="281">
        <f>'Grille tarifaire'!I25</f>
        <v>4.16</v>
      </c>
      <c r="N8" s="281">
        <f>'Grille tarifaire'!I26</f>
        <v>3.43</v>
      </c>
      <c r="O8" s="281">
        <f>'Grille tarifaire'!I27</f>
        <v>2.42</v>
      </c>
      <c r="Q8" s="276" t="s">
        <v>178</v>
      </c>
      <c r="R8" s="281">
        <f>'Grille tarifaire'!I33</f>
        <v>11.92</v>
      </c>
      <c r="S8" s="281">
        <f>'Grille tarifaire'!I34</f>
        <v>11.44</v>
      </c>
      <c r="T8" s="281">
        <f>'Grille tarifaire'!I35</f>
        <v>9.4</v>
      </c>
      <c r="U8" s="281">
        <f>'Grille tarifaire'!I36</f>
        <v>7.17</v>
      </c>
      <c r="V8" s="281">
        <f>'Grille tarifaire'!I37</f>
        <v>3.87</v>
      </c>
    </row>
    <row r="9" spans="1:23" ht="54.75" thickBot="1" x14ac:dyDescent="0.3">
      <c r="A9" s="710"/>
      <c r="B9" s="230"/>
      <c r="C9" s="277" t="s">
        <v>179</v>
      </c>
      <c r="D9" s="282">
        <f>'Grille tarifaire'!I18</f>
        <v>1.29</v>
      </c>
      <c r="E9" s="282">
        <f>'Grille tarifaire'!I19</f>
        <v>0.88</v>
      </c>
      <c r="F9" s="282">
        <f>'Grille tarifaire'!I20</f>
        <v>0.85</v>
      </c>
      <c r="G9" s="282">
        <f>'Grille tarifaire'!I21</f>
        <v>0.67</v>
      </c>
      <c r="H9" s="8">
        <f>'Grille tarifaire'!I22</f>
        <v>0.54</v>
      </c>
      <c r="J9" s="283" t="s">
        <v>179</v>
      </c>
      <c r="K9" s="284">
        <f>'Grille tarifaire'!I28</f>
        <v>1.0900000000000001</v>
      </c>
      <c r="L9" s="284">
        <f>'Grille tarifaire'!I29</f>
        <v>0.85</v>
      </c>
      <c r="M9" s="284">
        <f>'Grille tarifaire'!I30</f>
        <v>0.65</v>
      </c>
      <c r="N9" s="284">
        <f>'Grille tarifaire'!I31</f>
        <v>0.51</v>
      </c>
      <c r="O9" s="8">
        <f>'Grille tarifaire'!I32</f>
        <v>0.34</v>
      </c>
      <c r="Q9" s="283" t="s">
        <v>179</v>
      </c>
      <c r="R9" s="281">
        <f>'Grille tarifaire'!I38</f>
        <v>0.78</v>
      </c>
      <c r="S9" s="281">
        <f>'Grille tarifaire'!I39</f>
        <v>0.61</v>
      </c>
      <c r="T9" s="281">
        <f>'Grille tarifaire'!I40</f>
        <v>0.45</v>
      </c>
      <c r="U9" s="281">
        <f>'Grille tarifaire'!I41</f>
        <v>0.31</v>
      </c>
      <c r="V9" s="281">
        <f>'Grille tarifaire'!I42</f>
        <v>0.25</v>
      </c>
    </row>
    <row r="10" spans="1:23" ht="15.75" thickBot="1" x14ac:dyDescent="0.3">
      <c r="A10" s="88"/>
      <c r="C10" s="6"/>
      <c r="D10" s="6"/>
      <c r="E10" s="6"/>
      <c r="F10" s="6"/>
      <c r="G10" s="6"/>
      <c r="H10" s="6"/>
      <c r="J10" s="6"/>
      <c r="K10" s="6"/>
      <c r="L10" s="6"/>
      <c r="M10" s="6"/>
      <c r="N10" s="6"/>
      <c r="O10" s="6"/>
      <c r="Q10" s="6"/>
      <c r="R10" s="228"/>
      <c r="S10" s="228"/>
      <c r="T10" s="228"/>
      <c r="U10" s="228"/>
      <c r="V10" s="228"/>
    </row>
    <row r="11" spans="1:23" ht="68.25" thickBot="1" x14ac:dyDescent="0.3">
      <c r="A11" s="709" t="s">
        <v>209</v>
      </c>
      <c r="C11" s="275" t="s">
        <v>178</v>
      </c>
      <c r="D11" s="280">
        <f>'Grille tarifaire'!J13</f>
        <v>1.92</v>
      </c>
      <c r="E11" s="280">
        <f>'Grille tarifaire'!J14</f>
        <v>1.92</v>
      </c>
      <c r="F11" s="280">
        <f>'Grille tarifaire'!J15</f>
        <v>1.92</v>
      </c>
      <c r="G11" s="280">
        <f>'Grille tarifaire'!J16</f>
        <v>1.92</v>
      </c>
      <c r="H11" s="280">
        <f>'Grille tarifaire'!J17</f>
        <v>1.68</v>
      </c>
      <c r="J11" s="275" t="s">
        <v>178</v>
      </c>
      <c r="K11" s="280">
        <f>'Grille tarifaire'!J23</f>
        <v>4.2</v>
      </c>
      <c r="L11" s="280">
        <f>'Grille tarifaire'!J24</f>
        <v>4.08</v>
      </c>
      <c r="M11" s="280">
        <f>'Grille tarifaire'!J25</f>
        <v>3.96</v>
      </c>
      <c r="N11" s="280">
        <f>'Grille tarifaire'!J26</f>
        <v>3.36</v>
      </c>
      <c r="O11" s="280">
        <f>'Grille tarifaire'!J27</f>
        <v>2.6399999999999997</v>
      </c>
      <c r="Q11" s="275" t="s">
        <v>178</v>
      </c>
      <c r="R11" s="280">
        <f>'Grille tarifaire'!J33</f>
        <v>11.28</v>
      </c>
      <c r="S11" s="280">
        <f>'Grille tarifaire'!J34</f>
        <v>10.799999999999999</v>
      </c>
      <c r="T11" s="280">
        <f>'Grille tarifaire'!J35</f>
        <v>8.76</v>
      </c>
      <c r="U11" s="280">
        <f>'Grille tarifaire'!J36</f>
        <v>6.4799999999999995</v>
      </c>
      <c r="V11" s="280">
        <f>'Grille tarifaire'!J37</f>
        <v>3.84</v>
      </c>
      <c r="W11" s="226"/>
    </row>
    <row r="12" spans="1:23" ht="54.75" thickBot="1" x14ac:dyDescent="0.3">
      <c r="A12" s="710"/>
      <c r="C12" s="277" t="s">
        <v>179</v>
      </c>
      <c r="D12" s="280">
        <f>'Grille tarifaire'!J18</f>
        <v>1.17</v>
      </c>
      <c r="E12" s="280">
        <f>'Grille tarifaire'!J19</f>
        <v>0.85</v>
      </c>
      <c r="F12" s="280">
        <f>'Grille tarifaire'!J20</f>
        <v>0.8</v>
      </c>
      <c r="G12" s="280">
        <f>'Grille tarifaire'!J21</f>
        <v>0.63</v>
      </c>
      <c r="H12" s="280">
        <f>'Grille tarifaire'!J22</f>
        <v>0.5</v>
      </c>
      <c r="J12" s="277" t="s">
        <v>179</v>
      </c>
      <c r="K12" s="280">
        <f>'Grille tarifaire'!J28</f>
        <v>0.98</v>
      </c>
      <c r="L12" s="280">
        <f>'Grille tarifaire'!J29</f>
        <v>0.8</v>
      </c>
      <c r="M12" s="280">
        <f>'Grille tarifaire'!J30</f>
        <v>0.64</v>
      </c>
      <c r="N12" s="280">
        <f>'Grille tarifaire'!J31</f>
        <v>0.51</v>
      </c>
      <c r="O12" s="280">
        <f>'Grille tarifaire'!J32</f>
        <v>0.37</v>
      </c>
      <c r="Q12" s="277" t="s">
        <v>179</v>
      </c>
      <c r="R12" s="280">
        <f>'Grille tarifaire'!J38</f>
        <v>0.69</v>
      </c>
      <c r="S12" s="280">
        <f>'Grille tarifaire'!J39</f>
        <v>0.56999999999999995</v>
      </c>
      <c r="T12" s="280">
        <f>'Grille tarifaire'!J40</f>
        <v>0.45</v>
      </c>
      <c r="U12" s="280">
        <f>'Grille tarifaire'!J41</f>
        <v>0.35</v>
      </c>
      <c r="V12" s="280">
        <f>'Grille tarifaire'!J42</f>
        <v>0.28999999999999998</v>
      </c>
    </row>
    <row r="13" spans="1:23" ht="15.75" thickBot="1" x14ac:dyDescent="0.3">
      <c r="A13" s="90"/>
      <c r="C13" s="6"/>
      <c r="D13" s="91"/>
      <c r="E13" s="91"/>
      <c r="F13" s="91"/>
      <c r="G13" s="91"/>
      <c r="H13" s="6"/>
      <c r="J13" s="6"/>
      <c r="K13" s="91"/>
      <c r="L13" s="91"/>
      <c r="M13" s="91"/>
      <c r="N13" s="91"/>
      <c r="O13" s="6"/>
      <c r="Q13" s="6"/>
      <c r="R13" s="91"/>
      <c r="S13" s="91"/>
      <c r="T13" s="91"/>
      <c r="U13" s="91"/>
      <c r="V13" s="6"/>
    </row>
    <row r="14" spans="1:23" ht="68.25" thickBot="1" x14ac:dyDescent="0.3">
      <c r="A14" s="711" t="s">
        <v>210</v>
      </c>
      <c r="C14" s="275" t="s">
        <v>178</v>
      </c>
      <c r="D14" s="280">
        <f>'Grille tarifaire'!K13</f>
        <v>2.6399999999999997</v>
      </c>
      <c r="E14" s="280">
        <f>'Grille tarifaire'!K14</f>
        <v>2.6399999999999997</v>
      </c>
      <c r="F14" s="280">
        <f>'Grille tarifaire'!K15</f>
        <v>2.6399999999999997</v>
      </c>
      <c r="G14" s="280">
        <f>'Grille tarifaire'!K16</f>
        <v>2.6399999999999997</v>
      </c>
      <c r="H14" s="280">
        <f>'Grille tarifaire'!K17</f>
        <v>2.52</v>
      </c>
      <c r="J14" s="275" t="s">
        <v>178</v>
      </c>
      <c r="K14" s="280">
        <f>'Grille tarifaire'!K23</f>
        <v>4.2</v>
      </c>
      <c r="L14" s="280">
        <f>'Grille tarifaire'!K24</f>
        <v>4.08</v>
      </c>
      <c r="M14" s="280">
        <f>'Grille tarifaire'!K25</f>
        <v>3.96</v>
      </c>
      <c r="N14" s="280">
        <f>'Grille tarifaire'!K26</f>
        <v>3.48</v>
      </c>
      <c r="O14" s="280">
        <f>'Grille tarifaire'!K27</f>
        <v>3</v>
      </c>
      <c r="Q14" s="275" t="s">
        <v>178</v>
      </c>
      <c r="R14" s="280">
        <f>'Grille tarifaire'!K33</f>
        <v>11.28</v>
      </c>
      <c r="S14" s="280">
        <f>'Grille tarifaire'!K34</f>
        <v>10.799999999999999</v>
      </c>
      <c r="T14" s="280">
        <f>'Grille tarifaire'!K35</f>
        <v>8.64</v>
      </c>
      <c r="U14" s="280">
        <f>'Grille tarifaire'!K36</f>
        <v>6.24</v>
      </c>
      <c r="V14" s="280">
        <f>'Grille tarifaire'!K37</f>
        <v>4.2</v>
      </c>
    </row>
    <row r="15" spans="1:23" ht="54.75" thickBot="1" x14ac:dyDescent="0.3">
      <c r="A15" s="712"/>
      <c r="C15" s="277" t="s">
        <v>179</v>
      </c>
      <c r="D15" s="280">
        <f>'Grille tarifaire'!K18</f>
        <v>1.1100000000000001</v>
      </c>
      <c r="E15" s="280">
        <f>'Grille tarifaire'!K19</f>
        <v>0.9</v>
      </c>
      <c r="F15" s="280">
        <f>'Grille tarifaire'!K20</f>
        <v>0.81</v>
      </c>
      <c r="G15" s="280">
        <f>'Grille tarifaire'!K21</f>
        <v>0.63</v>
      </c>
      <c r="H15" s="280">
        <f>'Grille tarifaire'!K22</f>
        <v>0.51</v>
      </c>
      <c r="J15" s="277" t="s">
        <v>179</v>
      </c>
      <c r="K15" s="280">
        <f>'Grille tarifaire'!K28</f>
        <v>0.93</v>
      </c>
      <c r="L15" s="280">
        <f>'Grille tarifaire'!K29</f>
        <v>0.81</v>
      </c>
      <c r="M15" s="280">
        <f>'Grille tarifaire'!K30</f>
        <v>0.68</v>
      </c>
      <c r="N15" s="280">
        <f>'Grille tarifaire'!K31</f>
        <v>0.54</v>
      </c>
      <c r="O15" s="280">
        <f>'Grille tarifaire'!K32</f>
        <v>0.44</v>
      </c>
      <c r="Q15" s="277" t="s">
        <v>179</v>
      </c>
      <c r="R15" s="280">
        <f>'Grille tarifaire'!K38</f>
        <v>0.65</v>
      </c>
      <c r="S15" s="280">
        <f>'Grille tarifaire'!K39</f>
        <v>0.57999999999999996</v>
      </c>
      <c r="T15" s="280">
        <f>'Grille tarifaire'!K40</f>
        <v>0.49</v>
      </c>
      <c r="U15" s="280">
        <f>'Grille tarifaire'!K41</f>
        <v>0.42</v>
      </c>
      <c r="V15" s="280">
        <f>'Grille tarifaire'!K42</f>
        <v>0.35</v>
      </c>
    </row>
    <row r="16" spans="1:23" ht="15.75" thickBot="1" x14ac:dyDescent="0.3">
      <c r="A16" s="89"/>
      <c r="C16" s="6"/>
      <c r="D16" s="91"/>
      <c r="E16" s="91"/>
      <c r="F16" s="91"/>
      <c r="G16" s="91"/>
      <c r="H16" s="6"/>
      <c r="J16" s="6"/>
      <c r="K16" s="91"/>
      <c r="L16" s="91"/>
      <c r="M16" s="91"/>
      <c r="N16" s="91"/>
      <c r="O16" s="6"/>
      <c r="Q16" s="6"/>
      <c r="R16" s="91"/>
      <c r="S16" s="91"/>
      <c r="T16" s="91"/>
      <c r="U16" s="91"/>
      <c r="V16" s="6"/>
    </row>
    <row r="17" spans="1:22" ht="68.25" thickBot="1" x14ac:dyDescent="0.3">
      <c r="A17" s="709" t="s">
        <v>212</v>
      </c>
      <c r="C17" s="275" t="s">
        <v>178</v>
      </c>
      <c r="D17" s="280">
        <f>'Grille tarifaire'!L13</f>
        <v>3.36</v>
      </c>
      <c r="E17" s="280">
        <f>'Grille tarifaire'!L14</f>
        <v>3.36</v>
      </c>
      <c r="F17" s="280">
        <f>'Grille tarifaire'!L15</f>
        <v>3.36</v>
      </c>
      <c r="G17" s="280">
        <f>'Grille tarifaire'!L16</f>
        <v>3.36</v>
      </c>
      <c r="H17" s="280">
        <f>'Grille tarifaire'!L17</f>
        <v>3.36</v>
      </c>
      <c r="J17" s="275" t="s">
        <v>178</v>
      </c>
      <c r="K17" s="280">
        <f>'Grille tarifaire'!L23</f>
        <v>4.08</v>
      </c>
      <c r="L17" s="280">
        <f>'Grille tarifaire'!L24</f>
        <v>3.96</v>
      </c>
      <c r="M17" s="280">
        <f>'Grille tarifaire'!L25</f>
        <v>3.7199999999999998</v>
      </c>
      <c r="N17" s="280">
        <f>'Grille tarifaire'!L26</f>
        <v>3.48</v>
      </c>
      <c r="O17" s="280">
        <f>'Grille tarifaire'!L27</f>
        <v>3.36</v>
      </c>
      <c r="Q17" s="275" t="s">
        <v>178</v>
      </c>
      <c r="R17" s="280">
        <f>'Grille tarifaire'!L33</f>
        <v>10.92</v>
      </c>
      <c r="S17" s="280">
        <f>'Grille tarifaire'!L34</f>
        <v>10.44</v>
      </c>
      <c r="T17" s="280">
        <f>'Grille tarifaire'!L35</f>
        <v>8.16</v>
      </c>
      <c r="U17" s="280">
        <f>'Grille tarifaire'!L36</f>
        <v>5.76</v>
      </c>
      <c r="V17" s="280">
        <f>'Grille tarifaire'!L37</f>
        <v>4.32</v>
      </c>
    </row>
    <row r="18" spans="1:22" ht="54.75" thickBot="1" x14ac:dyDescent="0.3">
      <c r="A18" s="713"/>
      <c r="C18" s="277" t="s">
        <v>179</v>
      </c>
      <c r="D18" s="280">
        <f>'Grille tarifaire'!L18</f>
        <v>0.99</v>
      </c>
      <c r="E18" s="280">
        <f>'Grille tarifaire'!L19</f>
        <v>0.89</v>
      </c>
      <c r="F18" s="280">
        <f>'Grille tarifaire'!L20</f>
        <v>0.78</v>
      </c>
      <c r="G18" s="280">
        <f>'Grille tarifaire'!L21</f>
        <v>0.61</v>
      </c>
      <c r="H18" s="280">
        <f>'Grille tarifaire'!L22</f>
        <v>0.49</v>
      </c>
      <c r="J18" s="277" t="s">
        <v>179</v>
      </c>
      <c r="K18" s="280">
        <f>'Grille tarifaire'!L28</f>
        <v>0.83</v>
      </c>
      <c r="L18" s="280">
        <f>'Grille tarifaire'!L29</f>
        <v>0.77</v>
      </c>
      <c r="M18" s="280">
        <f>'Grille tarifaire'!L30</f>
        <v>0.7</v>
      </c>
      <c r="N18" s="280">
        <f>'Grille tarifaire'!L31</f>
        <v>0.56999999999999995</v>
      </c>
      <c r="O18" s="280">
        <f>'Grille tarifaire'!L32</f>
        <v>0.48</v>
      </c>
      <c r="Q18" s="277" t="s">
        <v>179</v>
      </c>
      <c r="R18" s="280">
        <f>'Grille tarifaire'!L38</f>
        <v>0.59</v>
      </c>
      <c r="S18" s="280">
        <f>'Grille tarifaire'!L39</f>
        <v>0.56000000000000005</v>
      </c>
      <c r="T18" s="280">
        <f>'Grille tarifaire'!L40</f>
        <v>0.51</v>
      </c>
      <c r="U18" s="280">
        <f>'Grille tarifaire'!L41</f>
        <v>0.47</v>
      </c>
      <c r="V18" s="280">
        <f>'Grille tarifaire'!L42</f>
        <v>0.41</v>
      </c>
    </row>
    <row r="19" spans="1:22" x14ac:dyDescent="0.25">
      <c r="A19" s="88"/>
      <c r="O19" s="161"/>
      <c r="P19" s="161"/>
    </row>
  </sheetData>
  <mergeCells count="9">
    <mergeCell ref="A8:A9"/>
    <mergeCell ref="A11:A12"/>
    <mergeCell ref="A14:A15"/>
    <mergeCell ref="A17:A18"/>
    <mergeCell ref="C2:R2"/>
    <mergeCell ref="C3:R3"/>
    <mergeCell ref="C5:H5"/>
    <mergeCell ref="J5:O5"/>
    <mergeCell ref="Q5:V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V19"/>
  <sheetViews>
    <sheetView workbookViewId="0">
      <pane xSplit="1" ySplit="2" topLeftCell="B12" activePane="bottomRight" state="frozen"/>
      <selection pane="topRight" activeCell="B1" sqref="B1"/>
      <selection pane="bottomLeft" activeCell="A3" sqref="A3"/>
      <selection pane="bottomRight" activeCell="B14" sqref="A14:XFD14"/>
    </sheetView>
  </sheetViews>
  <sheetFormatPr baseColWidth="10" defaultColWidth="11.28515625" defaultRowHeight="15" x14ac:dyDescent="0.25"/>
  <cols>
    <col min="1" max="1" width="17.7109375" customWidth="1"/>
    <col min="2" max="2" width="3" customWidth="1"/>
    <col min="3" max="6" width="11.28515625" customWidth="1"/>
    <col min="9" max="9" width="3.140625" customWidth="1"/>
    <col min="11" max="15" width="11.28515625" customWidth="1"/>
    <col min="16" max="16" width="3.140625" customWidth="1"/>
    <col min="21" max="22" width="11.28515625" customWidth="1"/>
    <col min="23" max="23" width="25.7109375" customWidth="1"/>
  </cols>
  <sheetData>
    <row r="1" spans="1:22" x14ac:dyDescent="0.25">
      <c r="C1" s="1" t="s">
        <v>0</v>
      </c>
      <c r="V1" s="1"/>
    </row>
    <row r="2" spans="1:22" ht="48" customHeight="1" x14ac:dyDescent="0.25">
      <c r="C2" s="715" t="s">
        <v>180</v>
      </c>
      <c r="D2" s="715"/>
      <c r="E2" s="715"/>
      <c r="F2" s="715"/>
      <c r="G2" s="715"/>
      <c r="H2" s="715"/>
      <c r="I2" s="715"/>
      <c r="J2" s="715"/>
      <c r="K2" s="715"/>
      <c r="L2" s="715"/>
      <c r="M2" s="715"/>
      <c r="N2" s="715"/>
      <c r="O2" s="715"/>
      <c r="P2" s="715"/>
      <c r="Q2" s="715"/>
      <c r="R2" s="715"/>
    </row>
    <row r="3" spans="1:22" ht="48" customHeight="1" x14ac:dyDescent="0.25">
      <c r="C3" s="716" t="s">
        <v>289</v>
      </c>
      <c r="D3" s="716"/>
      <c r="E3" s="716"/>
      <c r="F3" s="716"/>
      <c r="G3" s="716"/>
      <c r="H3" s="716"/>
      <c r="I3" s="716"/>
      <c r="J3" s="716"/>
      <c r="K3" s="716"/>
      <c r="L3" s="716"/>
      <c r="M3" s="716"/>
      <c r="N3" s="716"/>
      <c r="O3" s="716"/>
      <c r="P3" s="716"/>
      <c r="Q3" s="716"/>
      <c r="R3" s="716"/>
    </row>
    <row r="5" spans="1:22" ht="42" customHeight="1" x14ac:dyDescent="0.25">
      <c r="C5" s="707" t="s">
        <v>237</v>
      </c>
      <c r="D5" s="708"/>
      <c r="E5" s="708"/>
      <c r="F5" s="708"/>
      <c r="G5" s="708"/>
      <c r="H5" s="708"/>
      <c r="J5" s="707" t="s">
        <v>238</v>
      </c>
      <c r="K5" s="708"/>
      <c r="L5" s="708"/>
      <c r="M5" s="708"/>
      <c r="N5" s="708"/>
      <c r="O5" s="708"/>
      <c r="Q5" s="707" t="s">
        <v>239</v>
      </c>
      <c r="R5" s="708"/>
      <c r="S5" s="708"/>
      <c r="T5" s="708"/>
      <c r="U5" s="708"/>
      <c r="V5" s="708"/>
    </row>
    <row r="6" spans="1:22" ht="15.75" thickBot="1" x14ac:dyDescent="0.3">
      <c r="H6" s="61"/>
      <c r="O6" s="61"/>
      <c r="V6" s="61"/>
    </row>
    <row r="7" spans="1:22" ht="54.75" thickBot="1" x14ac:dyDescent="0.3">
      <c r="C7" s="63" t="s">
        <v>181</v>
      </c>
      <c r="D7" s="65" t="s">
        <v>171</v>
      </c>
      <c r="E7" s="68" t="s">
        <v>172</v>
      </c>
      <c r="F7" s="68" t="s">
        <v>173</v>
      </c>
      <c r="G7" s="69" t="s">
        <v>174</v>
      </c>
      <c r="H7" s="65" t="s">
        <v>175</v>
      </c>
      <c r="J7" s="63" t="s">
        <v>182</v>
      </c>
      <c r="K7" s="65" t="s">
        <v>171</v>
      </c>
      <c r="L7" s="68" t="s">
        <v>172</v>
      </c>
      <c r="M7" s="68" t="s">
        <v>173</v>
      </c>
      <c r="N7" s="69" t="s">
        <v>174</v>
      </c>
      <c r="O7" s="65" t="s">
        <v>175</v>
      </c>
      <c r="Q7" s="63" t="s">
        <v>183</v>
      </c>
      <c r="R7" s="65" t="s">
        <v>171</v>
      </c>
      <c r="S7" s="68" t="s">
        <v>172</v>
      </c>
      <c r="T7" s="68" t="s">
        <v>173</v>
      </c>
      <c r="U7" s="69" t="s">
        <v>174</v>
      </c>
      <c r="V7" s="65" t="s">
        <v>175</v>
      </c>
    </row>
    <row r="8" spans="1:22" ht="68.25" thickBot="1" x14ac:dyDescent="0.3">
      <c r="A8" s="709" t="s">
        <v>211</v>
      </c>
      <c r="C8" s="276" t="s">
        <v>178</v>
      </c>
      <c r="D8" s="281">
        <f>'Grille tarifaire'!I43</f>
        <v>4.1900000000000004</v>
      </c>
      <c r="E8" s="281">
        <f>'Grille tarifaire'!I44</f>
        <v>3.88</v>
      </c>
      <c r="F8" s="281">
        <f>'Grille tarifaire'!I45</f>
        <v>3.77</v>
      </c>
      <c r="G8" s="281">
        <f>'Grille tarifaire'!I46</f>
        <v>3.19</v>
      </c>
      <c r="H8" s="281">
        <f>'Grille tarifaire'!I47</f>
        <v>2.8</v>
      </c>
      <c r="J8" s="276" t="s">
        <v>178</v>
      </c>
      <c r="K8" s="281">
        <f>'Grille tarifaire'!I53</f>
        <v>16.63</v>
      </c>
      <c r="L8" s="281">
        <f>'Grille tarifaire'!I54</f>
        <v>16.02</v>
      </c>
      <c r="M8" s="281">
        <f>'Grille tarifaire'!I55</f>
        <v>13.59</v>
      </c>
      <c r="N8" s="281">
        <f>'Grille tarifaire'!I56</f>
        <v>9.91</v>
      </c>
      <c r="O8" s="281">
        <f>'Grille tarifaire'!I57</f>
        <v>5.87</v>
      </c>
      <c r="Q8" s="276" t="s">
        <v>178</v>
      </c>
      <c r="R8" s="281">
        <f>'Grille tarifaire'!I63</f>
        <v>32.17</v>
      </c>
      <c r="S8" s="281">
        <f>'Grille tarifaire'!I64</f>
        <v>30.99</v>
      </c>
      <c r="T8" s="281">
        <f>'Grille tarifaire'!I65</f>
        <v>24.86</v>
      </c>
      <c r="U8" s="281">
        <f>'Grille tarifaire'!I66</f>
        <v>17.489999999999998</v>
      </c>
      <c r="V8" s="281">
        <f>'Grille tarifaire'!I67</f>
        <v>9.94</v>
      </c>
    </row>
    <row r="9" spans="1:22" ht="54.75" thickBot="1" x14ac:dyDescent="0.3">
      <c r="A9" s="710"/>
      <c r="C9" s="283" t="s">
        <v>179</v>
      </c>
      <c r="D9" s="284">
        <f>'Grille tarifaire'!I48</f>
        <v>2.2999999999999998</v>
      </c>
      <c r="E9" s="284">
        <f>'Grille tarifaire'!I49</f>
        <v>1.88</v>
      </c>
      <c r="F9" s="284">
        <f>'Grille tarifaire'!I50</f>
        <v>1.57</v>
      </c>
      <c r="G9" s="284">
        <f>'Grille tarifaire'!I51</f>
        <v>1.18</v>
      </c>
      <c r="H9" s="8">
        <f>'Grille tarifaire'!I52</f>
        <v>0.85</v>
      </c>
      <c r="J9" s="283" t="s">
        <v>179</v>
      </c>
      <c r="K9" s="284">
        <f>'Grille tarifaire'!I58</f>
        <v>1.7</v>
      </c>
      <c r="L9" s="284">
        <f>'Grille tarifaire'!I59</f>
        <v>1.39</v>
      </c>
      <c r="M9" s="284">
        <f>'Grille tarifaire'!I60</f>
        <v>0.92</v>
      </c>
      <c r="N9" s="284">
        <f>'Grille tarifaire'!I61</f>
        <v>0.65</v>
      </c>
      <c r="O9" s="8">
        <f>'Grille tarifaire'!I62</f>
        <v>0.44</v>
      </c>
      <c r="Q9" s="283" t="s">
        <v>179</v>
      </c>
      <c r="R9" s="281">
        <f>'Grille tarifaire'!I68</f>
        <v>1.24</v>
      </c>
      <c r="S9" s="281">
        <f>'Grille tarifaire'!I69</f>
        <v>0.95</v>
      </c>
      <c r="T9" s="281">
        <f>'Grille tarifaire'!I70</f>
        <v>0.6</v>
      </c>
      <c r="U9" s="281">
        <f>'Grille tarifaire'!I71</f>
        <v>0.41</v>
      </c>
      <c r="V9" s="281">
        <f>'Grille tarifaire'!I72</f>
        <v>0.21</v>
      </c>
    </row>
    <row r="10" spans="1:22" ht="15.75" thickBot="1" x14ac:dyDescent="0.3">
      <c r="A10" s="88"/>
      <c r="C10" s="6"/>
      <c r="D10" s="6"/>
      <c r="E10" s="6"/>
      <c r="F10" s="6"/>
      <c r="G10" s="6"/>
      <c r="H10" s="6"/>
      <c r="J10" s="6"/>
      <c r="K10" s="6"/>
      <c r="L10" s="6"/>
      <c r="M10" s="6"/>
      <c r="N10" s="6"/>
      <c r="O10" s="6"/>
      <c r="Q10" s="6"/>
      <c r="R10" s="6"/>
      <c r="S10" s="6"/>
      <c r="T10" s="6"/>
      <c r="U10" s="6"/>
      <c r="V10" s="6"/>
    </row>
    <row r="11" spans="1:22" ht="68.25" thickBot="1" x14ac:dyDescent="0.3">
      <c r="A11" s="709" t="s">
        <v>209</v>
      </c>
      <c r="C11" s="275" t="s">
        <v>178</v>
      </c>
      <c r="D11" s="280">
        <f>'Grille tarifaire'!J43</f>
        <v>5.88</v>
      </c>
      <c r="E11" s="280">
        <f>'Grille tarifaire'!J44</f>
        <v>5.64</v>
      </c>
      <c r="F11" s="280">
        <f>'Grille tarifaire'!J45</f>
        <v>5.64</v>
      </c>
      <c r="G11" s="280">
        <f>'Grille tarifaire'!J46</f>
        <v>5.2799999999999994</v>
      </c>
      <c r="H11" s="280">
        <f>'Grille tarifaire'!J47</f>
        <v>4.92</v>
      </c>
      <c r="J11" s="275" t="s">
        <v>178</v>
      </c>
      <c r="K11" s="280">
        <f>'Grille tarifaire'!J53</f>
        <v>14.639999999999999</v>
      </c>
      <c r="L11" s="280">
        <f>'Grille tarifaire'!J54</f>
        <v>14.16</v>
      </c>
      <c r="M11" s="280">
        <f>'Grille tarifaire'!J55</f>
        <v>12.36</v>
      </c>
      <c r="N11" s="280">
        <f>'Grille tarifaire'!J56</f>
        <v>9.84</v>
      </c>
      <c r="O11" s="280">
        <f>'Grille tarifaire'!J57</f>
        <v>7.08</v>
      </c>
      <c r="Q11" s="275" t="s">
        <v>178</v>
      </c>
      <c r="R11" s="280">
        <f>'Grille tarifaire'!J63</f>
        <v>32.64</v>
      </c>
      <c r="S11" s="280">
        <f>'Grille tarifaire'!J64</f>
        <v>31.32</v>
      </c>
      <c r="T11" s="280">
        <f>'Grille tarifaire'!J65</f>
        <v>24.96</v>
      </c>
      <c r="U11" s="280">
        <f>'Grille tarifaire'!J66</f>
        <v>17.399999999999999</v>
      </c>
      <c r="V11" s="280">
        <f>'Grille tarifaire'!J67</f>
        <v>10.799999999999999</v>
      </c>
    </row>
    <row r="12" spans="1:22" ht="54.75" thickBot="1" x14ac:dyDescent="0.3">
      <c r="A12" s="710"/>
      <c r="C12" s="277" t="s">
        <v>179</v>
      </c>
      <c r="D12" s="280">
        <f>'Grille tarifaire'!J48</f>
        <v>2.1800000000000002</v>
      </c>
      <c r="E12" s="280">
        <f>'Grille tarifaire'!J49</f>
        <v>1.8</v>
      </c>
      <c r="F12" s="280">
        <f>'Grille tarifaire'!J50</f>
        <v>1.53</v>
      </c>
      <c r="G12" s="280">
        <f>'Grille tarifaire'!J51</f>
        <v>1.08</v>
      </c>
      <c r="H12" s="280">
        <f>'Grille tarifaire'!J52</f>
        <v>0.77</v>
      </c>
      <c r="J12" s="277" t="s">
        <v>179</v>
      </c>
      <c r="K12" s="280">
        <f>'Grille tarifaire'!J58</f>
        <v>1.64</v>
      </c>
      <c r="L12" s="280">
        <f>'Grille tarifaire'!J59</f>
        <v>1.38</v>
      </c>
      <c r="M12" s="280">
        <f>'Grille tarifaire'!J60</f>
        <v>1.01</v>
      </c>
      <c r="N12" s="280">
        <f>'Grille tarifaire'!J61</f>
        <v>0.7</v>
      </c>
      <c r="O12" s="280">
        <f>'Grille tarifaire'!J62</f>
        <v>0.5</v>
      </c>
      <c r="Q12" s="277" t="s">
        <v>179</v>
      </c>
      <c r="R12" s="280">
        <f>'Grille tarifaire'!J68</f>
        <v>1.03</v>
      </c>
      <c r="S12" s="280">
        <f>'Grille tarifaire'!J69</f>
        <v>0.83</v>
      </c>
      <c r="T12" s="280">
        <f>'Grille tarifaire'!J70</f>
        <v>0.56999999999999995</v>
      </c>
      <c r="U12" s="280">
        <f>'Grille tarifaire'!J71</f>
        <v>0.43</v>
      </c>
      <c r="V12" s="280">
        <f>'Grille tarifaire'!J72</f>
        <v>0.27</v>
      </c>
    </row>
    <row r="13" spans="1:22" ht="15.75" thickBot="1" x14ac:dyDescent="0.3">
      <c r="A13" s="90"/>
      <c r="C13" s="6"/>
      <c r="D13" s="91"/>
      <c r="E13" s="91"/>
      <c r="F13" s="91"/>
      <c r="G13" s="91"/>
      <c r="H13" s="6"/>
      <c r="J13" s="6"/>
      <c r="K13" s="91"/>
      <c r="L13" s="91"/>
      <c r="M13" s="91"/>
      <c r="N13" s="91"/>
      <c r="O13" s="6"/>
      <c r="Q13" s="6"/>
      <c r="R13" s="91"/>
      <c r="S13" s="91"/>
      <c r="T13" s="91"/>
      <c r="U13" s="91"/>
      <c r="V13" s="6"/>
    </row>
    <row r="14" spans="1:22" ht="68.25" thickBot="1" x14ac:dyDescent="0.3">
      <c r="A14" s="711" t="s">
        <v>210</v>
      </c>
      <c r="C14" s="275" t="s">
        <v>178</v>
      </c>
      <c r="D14" s="280">
        <f>'Grille tarifaire'!K43</f>
        <v>8.16</v>
      </c>
      <c r="E14" s="280">
        <f>'Grille tarifaire'!K44</f>
        <v>8.0399999999999991</v>
      </c>
      <c r="F14" s="280">
        <f>'Grille tarifaire'!K45</f>
        <v>7.92</v>
      </c>
      <c r="G14" s="280">
        <f>'Grille tarifaire'!K46</f>
        <v>7.8</v>
      </c>
      <c r="H14" s="280">
        <f>'Grille tarifaire'!K47</f>
        <v>7.68</v>
      </c>
      <c r="J14" s="275" t="s">
        <v>178</v>
      </c>
      <c r="K14" s="280">
        <f>'Grille tarifaire'!K53</f>
        <v>13.559999999999999</v>
      </c>
      <c r="L14" s="280">
        <f>'Grille tarifaire'!K54</f>
        <v>13.32</v>
      </c>
      <c r="M14" s="280">
        <f>'Grille tarifaire'!K55</f>
        <v>12</v>
      </c>
      <c r="N14" s="280">
        <f>'Grille tarifaire'!K56</f>
        <v>10.44</v>
      </c>
      <c r="O14" s="280">
        <f>'Grille tarifaire'!K57</f>
        <v>8.76</v>
      </c>
      <c r="Q14" s="275" t="s">
        <v>178</v>
      </c>
      <c r="R14" s="280">
        <f>'Grille tarifaire'!K63</f>
        <v>35.4</v>
      </c>
      <c r="S14" s="280">
        <f>'Grille tarifaire'!K64</f>
        <v>33.839999999999996</v>
      </c>
      <c r="T14" s="280">
        <f>'Grille tarifaire'!K65</f>
        <v>26.88</v>
      </c>
      <c r="U14" s="280">
        <f>'Grille tarifaire'!K66</f>
        <v>18.48</v>
      </c>
      <c r="V14" s="280">
        <f>'Grille tarifaire'!K67</f>
        <v>12.48</v>
      </c>
    </row>
    <row r="15" spans="1:22" ht="54.75" thickBot="1" x14ac:dyDescent="0.3">
      <c r="A15" s="712"/>
      <c r="C15" s="277" t="s">
        <v>179</v>
      </c>
      <c r="D15" s="280">
        <f>'Grille tarifaire'!K48</f>
        <v>2.21</v>
      </c>
      <c r="E15" s="280">
        <f>'Grille tarifaire'!K49</f>
        <v>1.84</v>
      </c>
      <c r="F15" s="280">
        <f>'Grille tarifaire'!K50</f>
        <v>1.57</v>
      </c>
      <c r="G15" s="280">
        <f>'Grille tarifaire'!K51</f>
        <v>1.06</v>
      </c>
      <c r="H15" s="280">
        <f>'Grille tarifaire'!K52</f>
        <v>0.76</v>
      </c>
      <c r="J15" s="277" t="s">
        <v>179</v>
      </c>
      <c r="K15" s="280">
        <f>'Grille tarifaire'!K58</f>
        <v>1.68</v>
      </c>
      <c r="L15" s="280">
        <f>'Grille tarifaire'!K59</f>
        <v>1.46</v>
      </c>
      <c r="M15" s="280">
        <f>'Grille tarifaire'!K60</f>
        <v>1.19</v>
      </c>
      <c r="N15" s="280">
        <f>'Grille tarifaire'!K61</f>
        <v>0.8</v>
      </c>
      <c r="O15" s="280">
        <f>'Grille tarifaire'!K62</f>
        <v>0.59</v>
      </c>
      <c r="Q15" s="277" t="s">
        <v>179</v>
      </c>
      <c r="R15" s="280">
        <f>'Grille tarifaire'!K68</f>
        <v>0.89</v>
      </c>
      <c r="S15" s="280">
        <f>'Grille tarifaire'!K69</f>
        <v>0.77</v>
      </c>
      <c r="T15" s="280">
        <f>'Grille tarifaire'!K70</f>
        <v>0.57999999999999996</v>
      </c>
      <c r="U15" s="280">
        <f>'Grille tarifaire'!K71</f>
        <v>0.49</v>
      </c>
      <c r="V15" s="280">
        <f>'Grille tarifaire'!K72</f>
        <v>0.35</v>
      </c>
    </row>
    <row r="16" spans="1:22" ht="15.75" thickBot="1" x14ac:dyDescent="0.3">
      <c r="A16" s="89"/>
      <c r="C16" s="6"/>
      <c r="D16" s="91"/>
      <c r="E16" s="91"/>
      <c r="F16" s="91"/>
      <c r="G16" s="91"/>
      <c r="H16" s="6"/>
      <c r="J16" s="6"/>
      <c r="K16" s="91"/>
      <c r="L16" s="91"/>
      <c r="M16" s="91"/>
      <c r="N16" s="91"/>
      <c r="O16" s="6"/>
      <c r="Q16" s="6"/>
      <c r="R16" s="91"/>
      <c r="S16" s="91"/>
      <c r="T16" s="91"/>
      <c r="U16" s="91"/>
      <c r="V16" s="6"/>
    </row>
    <row r="17" spans="1:22" ht="68.25" thickBot="1" x14ac:dyDescent="0.3">
      <c r="A17" s="709" t="s">
        <v>212</v>
      </c>
      <c r="C17" s="275" t="s">
        <v>178</v>
      </c>
      <c r="D17" s="280">
        <f>'Grille tarifaire'!L43</f>
        <v>10.199999999999999</v>
      </c>
      <c r="E17" s="280">
        <f>'Grille tarifaire'!L44</f>
        <v>10.199999999999999</v>
      </c>
      <c r="F17" s="280">
        <f>'Grille tarifaire'!L45</f>
        <v>10.199999999999999</v>
      </c>
      <c r="G17" s="280">
        <f>'Grille tarifaire'!L46</f>
        <v>10.199999999999999</v>
      </c>
      <c r="H17" s="280">
        <f>'Grille tarifaire'!L47</f>
        <v>10.199999999999999</v>
      </c>
      <c r="J17" s="275" t="s">
        <v>178</v>
      </c>
      <c r="K17" s="280">
        <f>'Grille tarifaire'!L53</f>
        <v>11.879999999999999</v>
      </c>
      <c r="L17" s="280">
        <f>'Grille tarifaire'!L54</f>
        <v>11.639999999999999</v>
      </c>
      <c r="M17" s="280">
        <f>'Grille tarifaire'!L55</f>
        <v>11.04</v>
      </c>
      <c r="N17" s="280">
        <f>'Grille tarifaire'!L56</f>
        <v>10.68</v>
      </c>
      <c r="O17" s="280">
        <f>'Grille tarifaire'!L57</f>
        <v>10.32</v>
      </c>
      <c r="Q17" s="275" t="s">
        <v>178</v>
      </c>
      <c r="R17" s="280">
        <f>'Grille tarifaire'!L63</f>
        <v>36.96</v>
      </c>
      <c r="S17" s="280">
        <f>'Grille tarifaire'!L64</f>
        <v>34.199999999999996</v>
      </c>
      <c r="T17" s="280">
        <f>'Grille tarifaire'!L65</f>
        <v>27.959999999999997</v>
      </c>
      <c r="U17" s="280">
        <f>'Grille tarifaire'!L66</f>
        <v>18.84</v>
      </c>
      <c r="V17" s="280">
        <f>'Grille tarifaire'!L67</f>
        <v>13.799999999999999</v>
      </c>
    </row>
    <row r="18" spans="1:22" ht="54.75" thickBot="1" x14ac:dyDescent="0.3">
      <c r="A18" s="713"/>
      <c r="C18" s="277" t="s">
        <v>179</v>
      </c>
      <c r="D18" s="280">
        <f>'Grille tarifaire'!L48</f>
        <v>2.15</v>
      </c>
      <c r="E18" s="280">
        <f>'Grille tarifaire'!L49</f>
        <v>1.82</v>
      </c>
      <c r="F18" s="280">
        <f>'Grille tarifaire'!L50</f>
        <v>1.55</v>
      </c>
      <c r="G18" s="280">
        <f>'Grille tarifaire'!L51</f>
        <v>1</v>
      </c>
      <c r="H18" s="280">
        <f>'Grille tarifaire'!L52</f>
        <v>0.7</v>
      </c>
      <c r="J18" s="277" t="s">
        <v>179</v>
      </c>
      <c r="K18" s="280">
        <f>'Grille tarifaire'!L58</f>
        <v>1.65</v>
      </c>
      <c r="L18" s="280">
        <f>'Grille tarifaire'!L59</f>
        <v>1.49</v>
      </c>
      <c r="M18" s="280">
        <f>'Grille tarifaire'!L60</f>
        <v>1.33</v>
      </c>
      <c r="N18" s="280">
        <f>'Grille tarifaire'!L61</f>
        <v>0.87</v>
      </c>
      <c r="O18" s="280">
        <f>'Grille tarifaire'!L62</f>
        <v>0.66</v>
      </c>
      <c r="Q18" s="277" t="s">
        <v>179</v>
      </c>
      <c r="R18" s="280">
        <f>'Grille tarifaire'!L68</f>
        <v>0.69</v>
      </c>
      <c r="S18" s="280">
        <f>'Grille tarifaire'!L69</f>
        <v>0.67</v>
      </c>
      <c r="T18" s="280">
        <f>'Grille tarifaire'!L70</f>
        <v>0.56999999999999995</v>
      </c>
      <c r="U18" s="280">
        <f>'Grille tarifaire'!L71</f>
        <v>0.52</v>
      </c>
      <c r="V18" s="280">
        <f>'Grille tarifaire'!L72</f>
        <v>0.44</v>
      </c>
    </row>
    <row r="19" spans="1:22" x14ac:dyDescent="0.25">
      <c r="A19" s="88"/>
      <c r="O19" s="161"/>
      <c r="P19" s="161"/>
    </row>
  </sheetData>
  <mergeCells count="9">
    <mergeCell ref="A11:A12"/>
    <mergeCell ref="A14:A15"/>
    <mergeCell ref="A17:A18"/>
    <mergeCell ref="C2:R2"/>
    <mergeCell ref="C3:R3"/>
    <mergeCell ref="C5:H5"/>
    <mergeCell ref="J5:O5"/>
    <mergeCell ref="Q5:V5"/>
    <mergeCell ref="A8:A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P37"/>
  <sheetViews>
    <sheetView zoomScaleNormal="100" workbookViewId="0">
      <pane xSplit="1" ySplit="2" topLeftCell="B3" activePane="bottomRight" state="frozen"/>
      <selection pane="topRight" activeCell="B1" sqref="B1"/>
      <selection pane="bottomLeft" activeCell="A3" sqref="A3"/>
      <selection pane="bottomRight" activeCell="M14" sqref="M14:O19"/>
    </sheetView>
  </sheetViews>
  <sheetFormatPr baseColWidth="10" defaultColWidth="11.28515625" defaultRowHeight="15" x14ac:dyDescent="0.25"/>
  <cols>
    <col min="1" max="1" width="17.7109375" customWidth="1"/>
    <col min="2" max="2" width="4.140625" customWidth="1"/>
    <col min="3" max="6" width="20" customWidth="1"/>
    <col min="7" max="7" width="2.7109375" customWidth="1"/>
    <col min="8" max="9" width="20" customWidth="1"/>
    <col min="10" max="10" width="2.28515625" customWidth="1"/>
    <col min="11" max="11" width="18.7109375" customWidth="1"/>
    <col min="12" max="12" width="17" customWidth="1"/>
  </cols>
  <sheetData>
    <row r="1" spans="1:16" x14ac:dyDescent="0.25">
      <c r="C1" s="1" t="s">
        <v>0</v>
      </c>
      <c r="D1" s="1"/>
      <c r="E1" s="1"/>
      <c r="H1" s="1"/>
    </row>
    <row r="2" spans="1:16" ht="24" x14ac:dyDescent="0.25">
      <c r="C2" s="723" t="s">
        <v>184</v>
      </c>
      <c r="D2" s="723"/>
      <c r="E2" s="723"/>
      <c r="F2" s="723"/>
      <c r="G2" s="723"/>
      <c r="H2" s="723"/>
      <c r="I2" s="723"/>
      <c r="J2" s="723"/>
      <c r="K2" s="723"/>
    </row>
    <row r="4" spans="1:16" ht="45.95" customHeight="1" x14ac:dyDescent="0.25">
      <c r="C4" s="707" t="s">
        <v>240</v>
      </c>
      <c r="D4" s="708"/>
      <c r="E4" s="708"/>
      <c r="F4" s="708"/>
      <c r="H4" s="707" t="s">
        <v>241</v>
      </c>
      <c r="I4" s="708"/>
      <c r="K4" s="707" t="s">
        <v>242</v>
      </c>
      <c r="L4" s="708"/>
      <c r="M4" s="708"/>
      <c r="N4" s="708"/>
      <c r="O4" s="708"/>
    </row>
    <row r="5" spans="1:16" ht="15.75" customHeight="1" thickBot="1" x14ac:dyDescent="0.3">
      <c r="F5" s="61"/>
      <c r="I5" s="61"/>
      <c r="O5" s="61"/>
    </row>
    <row r="6" spans="1:16" ht="41.25" thickBot="1" x14ac:dyDescent="0.3">
      <c r="C6" s="200" t="s">
        <v>157</v>
      </c>
      <c r="D6" s="199" t="s">
        <v>185</v>
      </c>
      <c r="E6" s="770" t="s">
        <v>186</v>
      </c>
      <c r="F6" s="771"/>
      <c r="H6" s="63" t="s">
        <v>187</v>
      </c>
      <c r="I6" s="65" t="s">
        <v>188</v>
      </c>
      <c r="K6" s="63" t="s">
        <v>189</v>
      </c>
      <c r="L6" s="68" t="s">
        <v>190</v>
      </c>
      <c r="M6" s="68" t="s">
        <v>191</v>
      </c>
      <c r="N6" s="69" t="s">
        <v>192</v>
      </c>
      <c r="O6" s="65" t="s">
        <v>193</v>
      </c>
    </row>
    <row r="7" spans="1:16" x14ac:dyDescent="0.25">
      <c r="A7" s="708" t="s">
        <v>211</v>
      </c>
      <c r="C7" s="766" t="s">
        <v>123</v>
      </c>
      <c r="D7" s="762">
        <f>'Grille tarifaire'!I73</f>
        <v>106930.88</v>
      </c>
      <c r="E7" s="761">
        <f>'Grille tarifaire'!I74</f>
        <v>10135.99</v>
      </c>
      <c r="F7" s="762"/>
      <c r="H7" s="772" t="s">
        <v>125</v>
      </c>
      <c r="I7" s="774">
        <f>'Grille tarifaire'!I81</f>
        <v>1.55</v>
      </c>
      <c r="J7" s="233"/>
      <c r="K7" s="738" t="s">
        <v>123</v>
      </c>
      <c r="L7" s="739" t="s">
        <v>125</v>
      </c>
      <c r="M7" s="778">
        <f>'Grille tarifaire'!I83</f>
        <v>7.41</v>
      </c>
      <c r="N7" s="779">
        <f>'Grille tarifaire'!I84</f>
        <v>0.77</v>
      </c>
      <c r="O7" s="781">
        <f>'Grille tarifaire'!I85</f>
        <v>31.39</v>
      </c>
    </row>
    <row r="8" spans="1:16" ht="15.75" customHeight="1" thickBot="1" x14ac:dyDescent="0.3">
      <c r="A8" s="708"/>
      <c r="C8" s="745"/>
      <c r="D8" s="767"/>
      <c r="E8" s="763"/>
      <c r="F8" s="764"/>
      <c r="H8" s="773"/>
      <c r="I8" s="775"/>
      <c r="J8" s="233"/>
      <c r="K8" s="725"/>
      <c r="L8" s="718"/>
      <c r="M8" s="734"/>
      <c r="N8" s="780"/>
      <c r="O8" s="736"/>
      <c r="P8" s="226"/>
    </row>
    <row r="9" spans="1:16" ht="15.75" customHeight="1" thickBot="1" x14ac:dyDescent="0.3">
      <c r="A9" s="708"/>
      <c r="C9" s="737" t="s">
        <v>125</v>
      </c>
      <c r="D9" s="768">
        <f>'Grille tarifaire'!I75</f>
        <v>64488.15</v>
      </c>
      <c r="E9" s="62" t="s">
        <v>139</v>
      </c>
      <c r="F9" s="202">
        <f>'Grille tarifaire'!I76</f>
        <v>6462.01</v>
      </c>
      <c r="G9" s="233"/>
      <c r="H9" s="773"/>
      <c r="I9" s="776"/>
      <c r="J9" s="233"/>
      <c r="K9" s="725"/>
      <c r="L9" s="717" t="s">
        <v>126</v>
      </c>
      <c r="M9" s="733">
        <f>'Grille tarifaire'!I86</f>
        <v>5.45</v>
      </c>
      <c r="N9" s="783">
        <f>'Grille tarifaire'!I87</f>
        <v>1.31</v>
      </c>
      <c r="O9" s="785">
        <f>'Grille tarifaire'!I88</f>
        <v>23.25</v>
      </c>
      <c r="P9" s="226"/>
    </row>
    <row r="10" spans="1:16" ht="15.75" customHeight="1" thickBot="1" x14ac:dyDescent="0.3">
      <c r="A10" s="708"/>
      <c r="C10" s="745"/>
      <c r="D10" s="769"/>
      <c r="E10" s="64" t="s">
        <v>140</v>
      </c>
      <c r="F10" s="202">
        <f>'Grille tarifaire'!I77</f>
        <v>32308.87</v>
      </c>
      <c r="G10" s="233"/>
      <c r="H10" s="724" t="s">
        <v>126</v>
      </c>
      <c r="I10" s="777">
        <f>'Grille tarifaire'!I82</f>
        <v>2.98</v>
      </c>
      <c r="J10" s="233"/>
      <c r="K10" s="726"/>
      <c r="L10" s="730"/>
      <c r="M10" s="782"/>
      <c r="N10" s="784"/>
      <c r="O10" s="786"/>
      <c r="P10" s="226"/>
    </row>
    <row r="11" spans="1:16" ht="15.75" customHeight="1" thickBot="1" x14ac:dyDescent="0.3">
      <c r="A11" s="708"/>
      <c r="C11" s="737" t="s">
        <v>126</v>
      </c>
      <c r="D11" s="768">
        <f>'Grille tarifaire'!I78</f>
        <v>33496.46</v>
      </c>
      <c r="E11" s="64" t="s">
        <v>139</v>
      </c>
      <c r="F11" s="202">
        <f>'Grille tarifaire'!I79</f>
        <v>3834.42</v>
      </c>
      <c r="G11" s="233"/>
      <c r="H11" s="725"/>
      <c r="I11" s="775"/>
      <c r="J11" s="233"/>
      <c r="K11" s="724" t="s">
        <v>125</v>
      </c>
      <c r="L11" s="717" t="s">
        <v>126</v>
      </c>
      <c r="M11" s="733">
        <f>'Grille tarifaire'!I89</f>
        <v>1.59</v>
      </c>
      <c r="N11" s="733">
        <f>'Grille tarifaire'!I90</f>
        <v>1.31</v>
      </c>
      <c r="O11" s="735">
        <f>'Grille tarifaire'!I91</f>
        <v>6.98</v>
      </c>
      <c r="P11" s="226"/>
    </row>
    <row r="12" spans="1:16" ht="15.75" thickBot="1" x14ac:dyDescent="0.3">
      <c r="A12" s="708"/>
      <c r="C12" s="745"/>
      <c r="D12" s="769"/>
      <c r="E12" s="64" t="s">
        <v>140</v>
      </c>
      <c r="F12" s="203">
        <f>'Grille tarifaire'!I80</f>
        <v>7668.84</v>
      </c>
      <c r="G12" s="233"/>
      <c r="H12" s="726"/>
      <c r="I12" s="776"/>
      <c r="J12" s="233"/>
      <c r="K12" s="726"/>
      <c r="L12" s="718"/>
      <c r="M12" s="734"/>
      <c r="N12" s="734"/>
      <c r="O12" s="736"/>
      <c r="P12" s="226"/>
    </row>
    <row r="13" spans="1:16" ht="15.75" thickBot="1" x14ac:dyDescent="0.3">
      <c r="A13" s="88"/>
      <c r="C13" s="7"/>
      <c r="D13" s="7"/>
      <c r="E13" s="228"/>
      <c r="F13" s="201"/>
      <c r="H13" s="228"/>
      <c r="I13" s="6"/>
      <c r="K13" s="228"/>
      <c r="L13" s="228"/>
      <c r="M13" s="228"/>
      <c r="N13" s="228"/>
      <c r="O13" s="228"/>
    </row>
    <row r="14" spans="1:16" x14ac:dyDescent="0.25">
      <c r="A14" s="708" t="s">
        <v>209</v>
      </c>
      <c r="C14" s="731" t="s">
        <v>123</v>
      </c>
      <c r="D14" s="758">
        <f>'Grille tarifaire'!J73</f>
        <v>106920.19</v>
      </c>
      <c r="E14" s="765">
        <f>'Grille tarifaire'!J74</f>
        <v>10134.98</v>
      </c>
      <c r="F14" s="749"/>
      <c r="H14" s="773" t="s">
        <v>125</v>
      </c>
      <c r="I14" s="741">
        <f>'Grille tarifaire'!J81</f>
        <v>1.55</v>
      </c>
      <c r="K14" s="724" t="s">
        <v>123</v>
      </c>
      <c r="L14" s="727" t="s">
        <v>125</v>
      </c>
      <c r="M14" s="727">
        <f>'Grille tarifaire'!J83</f>
        <v>7.41</v>
      </c>
      <c r="N14" s="717">
        <f>'Grille tarifaire'!J84</f>
        <v>0.77</v>
      </c>
      <c r="O14" s="731">
        <f>'Grille tarifaire'!J85</f>
        <v>31.39</v>
      </c>
    </row>
    <row r="15" spans="1:16" ht="15.75" customHeight="1" thickBot="1" x14ac:dyDescent="0.3">
      <c r="A15" s="708"/>
      <c r="C15" s="745"/>
      <c r="D15" s="752"/>
      <c r="E15" s="750"/>
      <c r="F15" s="751"/>
      <c r="H15" s="773"/>
      <c r="I15" s="742"/>
      <c r="K15" s="725"/>
      <c r="L15" s="728"/>
      <c r="M15" s="728"/>
      <c r="N15" s="718"/>
      <c r="O15" s="732"/>
    </row>
    <row r="16" spans="1:16" ht="15.75" thickBot="1" x14ac:dyDescent="0.3">
      <c r="A16" s="708"/>
      <c r="C16" s="737" t="s">
        <v>125</v>
      </c>
      <c r="D16" s="746">
        <f>'Grille tarifaire'!J75</f>
        <v>64481.7</v>
      </c>
      <c r="E16" s="64" t="s">
        <v>139</v>
      </c>
      <c r="F16" s="208">
        <f>'Grille tarifaire'!J76</f>
        <v>6461.36</v>
      </c>
      <c r="H16" s="773"/>
      <c r="I16" s="743"/>
      <c r="K16" s="725"/>
      <c r="L16" s="727" t="s">
        <v>126</v>
      </c>
      <c r="M16" s="727">
        <f>'Grille tarifaire'!J86</f>
        <v>5.45</v>
      </c>
      <c r="N16" s="717">
        <f>'Grille tarifaire'!J87</f>
        <v>1.31</v>
      </c>
      <c r="O16" s="731">
        <f>'Grille tarifaire'!J88</f>
        <v>23.25</v>
      </c>
    </row>
    <row r="17" spans="1:15" ht="15.75" thickBot="1" x14ac:dyDescent="0.3">
      <c r="A17" s="708"/>
      <c r="C17" s="745"/>
      <c r="D17" s="752"/>
      <c r="E17" s="64" t="s">
        <v>140</v>
      </c>
      <c r="F17" s="204">
        <f>'Grille tarifaire'!J77</f>
        <v>32305.64</v>
      </c>
      <c r="H17" s="724" t="s">
        <v>126</v>
      </c>
      <c r="I17" s="731">
        <f>'Grille tarifaire'!J82</f>
        <v>2.98</v>
      </c>
      <c r="K17" s="726"/>
      <c r="L17" s="728"/>
      <c r="M17" s="728"/>
      <c r="N17" s="718"/>
      <c r="O17" s="732"/>
    </row>
    <row r="18" spans="1:15" ht="15.75" thickBot="1" x14ac:dyDescent="0.3">
      <c r="A18" s="708"/>
      <c r="C18" s="737" t="s">
        <v>126</v>
      </c>
      <c r="D18" s="746">
        <f>'Grille tarifaire'!J78</f>
        <v>33493.11</v>
      </c>
      <c r="E18" s="64" t="s">
        <v>139</v>
      </c>
      <c r="F18" s="204">
        <f>'Grille tarifaire'!J79</f>
        <v>3834.04</v>
      </c>
      <c r="H18" s="725"/>
      <c r="I18" s="737"/>
      <c r="K18" s="725" t="s">
        <v>125</v>
      </c>
      <c r="L18" s="740" t="s">
        <v>126</v>
      </c>
      <c r="M18" s="727">
        <f>'Grille tarifaire'!J89</f>
        <v>1.59</v>
      </c>
      <c r="N18" s="730">
        <f>'Grille tarifaire'!J90</f>
        <v>1.31</v>
      </c>
      <c r="O18" s="731">
        <f>'Grille tarifaire'!J91</f>
        <v>6.98</v>
      </c>
    </row>
    <row r="19" spans="1:15" ht="15.75" customHeight="1" thickBot="1" x14ac:dyDescent="0.3">
      <c r="A19" s="708"/>
      <c r="C19" s="745"/>
      <c r="D19" s="752"/>
      <c r="E19" s="64" t="s">
        <v>140</v>
      </c>
      <c r="F19" s="205">
        <f>'Grille tarifaire'!J80</f>
        <v>7668.07</v>
      </c>
      <c r="H19" s="726"/>
      <c r="I19" s="732"/>
      <c r="K19" s="726"/>
      <c r="L19" s="728"/>
      <c r="M19" s="728"/>
      <c r="N19" s="718"/>
      <c r="O19" s="732"/>
    </row>
    <row r="20" spans="1:15" ht="15.75" thickBot="1" x14ac:dyDescent="0.3">
      <c r="A20" s="90"/>
      <c r="C20" s="206"/>
      <c r="D20" s="206"/>
      <c r="E20" s="201"/>
      <c r="F20" s="201"/>
      <c r="H20" s="228"/>
      <c r="I20" s="6"/>
      <c r="K20" s="228"/>
      <c r="L20" s="228"/>
      <c r="M20" s="234"/>
      <c r="N20" s="234"/>
      <c r="O20" s="234"/>
    </row>
    <row r="21" spans="1:15" x14ac:dyDescent="0.25">
      <c r="A21" s="708" t="s">
        <v>210</v>
      </c>
      <c r="C21" s="744" t="s">
        <v>123</v>
      </c>
      <c r="D21" s="746">
        <f>'Grille tarifaire'!K73</f>
        <v>114073.86</v>
      </c>
      <c r="E21" s="748">
        <f>'Grille tarifaire'!K74</f>
        <v>10813.07</v>
      </c>
      <c r="F21" s="749"/>
      <c r="G21" s="5"/>
      <c r="H21" s="755" t="s">
        <v>125</v>
      </c>
      <c r="I21" s="741">
        <f>'Grille tarifaire'!K81</f>
        <v>1.65</v>
      </c>
      <c r="K21" s="724" t="s">
        <v>123</v>
      </c>
      <c r="L21" s="727" t="s">
        <v>125</v>
      </c>
      <c r="M21" s="717">
        <f>'Grille tarifaire'!K83</f>
        <v>7.9</v>
      </c>
      <c r="N21" s="729">
        <f>'Grille tarifaire'!K84</f>
        <v>0.82</v>
      </c>
      <c r="O21" s="721">
        <f>'Grille tarifaire'!K85</f>
        <v>33.49</v>
      </c>
    </row>
    <row r="22" spans="1:15" ht="15.75" customHeight="1" thickBot="1" x14ac:dyDescent="0.3">
      <c r="A22" s="708"/>
      <c r="C22" s="745"/>
      <c r="D22" s="747"/>
      <c r="E22" s="750"/>
      <c r="F22" s="751"/>
      <c r="G22" s="5"/>
      <c r="H22" s="756"/>
      <c r="I22" s="742"/>
      <c r="K22" s="725"/>
      <c r="L22" s="728"/>
      <c r="M22" s="718"/>
      <c r="N22" s="720"/>
      <c r="O22" s="722"/>
    </row>
    <row r="23" spans="1:15" ht="15.75" thickBot="1" x14ac:dyDescent="0.3">
      <c r="A23" s="708"/>
      <c r="C23" s="744" t="s">
        <v>125</v>
      </c>
      <c r="D23" s="758">
        <f>'Grille tarifaire'!K75</f>
        <v>68795.960000000006</v>
      </c>
      <c r="E23" s="64" t="s">
        <v>139</v>
      </c>
      <c r="F23" s="209">
        <f>'Grille tarifaire'!K76</f>
        <v>6893.67</v>
      </c>
      <c r="G23" s="5"/>
      <c r="H23" s="756"/>
      <c r="I23" s="743"/>
      <c r="K23" s="725"/>
      <c r="L23" s="727" t="s">
        <v>126</v>
      </c>
      <c r="M23" s="717">
        <f>'Grille tarifaire'!K86</f>
        <v>5.81</v>
      </c>
      <c r="N23" s="729">
        <f>'Grille tarifaire'!K87</f>
        <v>1.4</v>
      </c>
      <c r="O23" s="721">
        <f>'Grille tarifaire'!K88</f>
        <v>24.8</v>
      </c>
    </row>
    <row r="24" spans="1:15" ht="15.75" thickBot="1" x14ac:dyDescent="0.3">
      <c r="A24" s="708"/>
      <c r="C24" s="745"/>
      <c r="D24" s="752"/>
      <c r="E24" s="64" t="s">
        <v>140</v>
      </c>
      <c r="F24" s="204">
        <f>'Grille tarifaire'!K77</f>
        <v>34467.1</v>
      </c>
      <c r="G24" s="5"/>
      <c r="H24" s="755" t="s">
        <v>126</v>
      </c>
      <c r="I24" s="731">
        <f>'Grille tarifaire'!K82</f>
        <v>3.18</v>
      </c>
      <c r="K24" s="726"/>
      <c r="L24" s="728"/>
      <c r="M24" s="718"/>
      <c r="N24" s="720"/>
      <c r="O24" s="722"/>
    </row>
    <row r="25" spans="1:15" ht="15.75" thickBot="1" x14ac:dyDescent="0.3">
      <c r="A25" s="708"/>
      <c r="C25" s="737" t="s">
        <v>126</v>
      </c>
      <c r="D25" s="746">
        <f>'Grille tarifaire'!K78</f>
        <v>35734.019999999997</v>
      </c>
      <c r="E25" s="64" t="s">
        <v>139</v>
      </c>
      <c r="F25" s="204">
        <f>'Grille tarifaire'!K79</f>
        <v>4090.56</v>
      </c>
      <c r="G25" s="5"/>
      <c r="H25" s="756"/>
      <c r="I25" s="737"/>
      <c r="K25" s="725" t="s">
        <v>125</v>
      </c>
      <c r="L25" s="727" t="s">
        <v>126</v>
      </c>
      <c r="M25" s="717">
        <f>'Grille tarifaire'!K89</f>
        <v>1.7</v>
      </c>
      <c r="N25" s="719">
        <f>'Grille tarifaire'!K90</f>
        <v>1.4</v>
      </c>
      <c r="O25" s="721">
        <f>'Grille tarifaire'!K91</f>
        <v>7.45</v>
      </c>
    </row>
    <row r="26" spans="1:15" ht="15.75" thickBot="1" x14ac:dyDescent="0.3">
      <c r="A26" s="712"/>
      <c r="C26" s="745"/>
      <c r="D26" s="752"/>
      <c r="E26" s="64" t="s">
        <v>140</v>
      </c>
      <c r="F26" s="205">
        <f>'Grille tarifaire'!K80</f>
        <v>8181.12</v>
      </c>
      <c r="G26" s="5"/>
      <c r="H26" s="757"/>
      <c r="I26" s="732"/>
      <c r="K26" s="726"/>
      <c r="L26" s="728"/>
      <c r="M26" s="718"/>
      <c r="N26" s="720"/>
      <c r="O26" s="722"/>
    </row>
    <row r="27" spans="1:15" ht="15.75" customHeight="1" thickBot="1" x14ac:dyDescent="0.3">
      <c r="A27" s="89"/>
      <c r="C27" s="206"/>
      <c r="D27" s="206"/>
      <c r="E27" s="201"/>
      <c r="F27" s="201"/>
      <c r="G27" s="5"/>
      <c r="H27" s="228"/>
      <c r="I27" s="228"/>
      <c r="K27" s="228"/>
      <c r="L27" s="228"/>
      <c r="M27" s="234"/>
      <c r="N27" s="234"/>
      <c r="O27" s="234"/>
    </row>
    <row r="28" spans="1:15" ht="15.75" customHeight="1" x14ac:dyDescent="0.25">
      <c r="A28" s="709" t="s">
        <v>212</v>
      </c>
      <c r="B28" s="232"/>
      <c r="C28" s="744" t="s">
        <v>123</v>
      </c>
      <c r="D28" s="746">
        <f>'Grille tarifaire'!L73</f>
        <v>116918.22</v>
      </c>
      <c r="E28" s="753">
        <f>'Grille tarifaire'!L74</f>
        <v>11082.69</v>
      </c>
      <c r="F28" s="749"/>
      <c r="G28" s="5"/>
      <c r="H28" s="724" t="s">
        <v>125</v>
      </c>
      <c r="I28" s="731">
        <f>'Grille tarifaire'!L81</f>
        <v>1.69</v>
      </c>
      <c r="K28" s="724" t="s">
        <v>123</v>
      </c>
      <c r="L28" s="727" t="s">
        <v>125</v>
      </c>
      <c r="M28" s="717">
        <f>'Grille tarifaire'!L83</f>
        <v>8.1</v>
      </c>
      <c r="N28" s="729">
        <f>'Grille tarifaire'!L84</f>
        <v>0.84</v>
      </c>
      <c r="O28" s="721">
        <f>'Grille tarifaire'!L85</f>
        <v>34.32</v>
      </c>
    </row>
    <row r="29" spans="1:15" ht="15.75" customHeight="1" thickBot="1" x14ac:dyDescent="0.3">
      <c r="A29" s="710"/>
      <c r="B29" s="230"/>
      <c r="C29" s="745"/>
      <c r="D29" s="752"/>
      <c r="E29" s="754"/>
      <c r="F29" s="751"/>
      <c r="G29" s="5"/>
      <c r="H29" s="725"/>
      <c r="I29" s="737"/>
      <c r="K29" s="725"/>
      <c r="L29" s="728"/>
      <c r="M29" s="718"/>
      <c r="N29" s="720"/>
      <c r="O29" s="722"/>
    </row>
    <row r="30" spans="1:15" ht="15.75" thickBot="1" x14ac:dyDescent="0.3">
      <c r="A30" s="710"/>
      <c r="B30" s="230"/>
      <c r="C30" s="759" t="s">
        <v>125</v>
      </c>
      <c r="D30" s="746">
        <f>'Grille tarifaire'!L75</f>
        <v>70511.34</v>
      </c>
      <c r="E30" s="64" t="s">
        <v>139</v>
      </c>
      <c r="F30" s="204">
        <f>'Grille tarifaire'!L76</f>
        <v>7065.56</v>
      </c>
      <c r="G30" s="5"/>
      <c r="H30" s="726"/>
      <c r="I30" s="732"/>
      <c r="K30" s="725"/>
      <c r="L30" s="727" t="s">
        <v>126</v>
      </c>
      <c r="M30" s="717">
        <f>'Grille tarifaire'!L86</f>
        <v>5.96</v>
      </c>
      <c r="N30" s="729">
        <f>'Grille tarifaire'!L87</f>
        <v>1.43</v>
      </c>
      <c r="O30" s="721">
        <f>'Grille tarifaire'!L88</f>
        <v>25.42</v>
      </c>
    </row>
    <row r="31" spans="1:15" ht="15.75" thickBot="1" x14ac:dyDescent="0.3">
      <c r="A31" s="710"/>
      <c r="B31" s="230"/>
      <c r="C31" s="760"/>
      <c r="D31" s="752"/>
      <c r="E31" s="64" t="s">
        <v>140</v>
      </c>
      <c r="F31" s="204">
        <f>'Grille tarifaire'!L77</f>
        <v>35326.519999999997</v>
      </c>
      <c r="G31" s="5"/>
      <c r="H31" s="724" t="s">
        <v>126</v>
      </c>
      <c r="I31" s="731">
        <f>'Grille tarifaire'!L82</f>
        <v>3.26</v>
      </c>
      <c r="K31" s="726"/>
      <c r="L31" s="728"/>
      <c r="M31" s="718"/>
      <c r="N31" s="720"/>
      <c r="O31" s="722"/>
    </row>
    <row r="32" spans="1:15" ht="15.75" thickBot="1" x14ac:dyDescent="0.3">
      <c r="A32" s="710"/>
      <c r="B32" s="230"/>
      <c r="C32" s="744" t="s">
        <v>126</v>
      </c>
      <c r="D32" s="746">
        <f>'Grille tarifaire'!L78</f>
        <v>36625.03</v>
      </c>
      <c r="E32" s="64" t="s">
        <v>139</v>
      </c>
      <c r="F32" s="204">
        <f>'Grille tarifaire'!L79</f>
        <v>4192.55</v>
      </c>
      <c r="G32" s="5"/>
      <c r="H32" s="725"/>
      <c r="I32" s="737"/>
      <c r="K32" s="724" t="s">
        <v>125</v>
      </c>
      <c r="L32" s="727" t="s">
        <v>126</v>
      </c>
      <c r="M32" s="717">
        <f>'Grille tarifaire'!L89</f>
        <v>1.74</v>
      </c>
      <c r="N32" s="719">
        <f>'Grille tarifaire'!L90</f>
        <v>1.43</v>
      </c>
      <c r="O32" s="721">
        <f>'Grille tarifaire'!L91</f>
        <v>7.63</v>
      </c>
    </row>
    <row r="33" spans="1:15" ht="15.75" thickBot="1" x14ac:dyDescent="0.3">
      <c r="A33" s="713"/>
      <c r="B33" s="230"/>
      <c r="C33" s="745"/>
      <c r="D33" s="752"/>
      <c r="E33" s="64" t="s">
        <v>140</v>
      </c>
      <c r="F33" s="205">
        <f>'Grille tarifaire'!L80</f>
        <v>8385.11</v>
      </c>
      <c r="G33" s="5"/>
      <c r="H33" s="726"/>
      <c r="I33" s="732"/>
      <c r="K33" s="726"/>
      <c r="L33" s="728"/>
      <c r="M33" s="718"/>
      <c r="N33" s="720"/>
      <c r="O33" s="722"/>
    </row>
    <row r="34" spans="1:15" x14ac:dyDescent="0.25">
      <c r="H34" s="6"/>
      <c r="K34" s="6"/>
      <c r="L34" s="6"/>
    </row>
    <row r="35" spans="1:15" ht="15" customHeight="1" x14ac:dyDescent="0.25">
      <c r="A35" s="88"/>
    </row>
    <row r="36" spans="1:15" x14ac:dyDescent="0.25">
      <c r="A36" s="88"/>
    </row>
    <row r="37" spans="1:15" x14ac:dyDescent="0.25">
      <c r="A37" s="88"/>
    </row>
  </sheetData>
  <mergeCells count="109">
    <mergeCell ref="E6:F6"/>
    <mergeCell ref="H4:I4"/>
    <mergeCell ref="K4:O4"/>
    <mergeCell ref="C4:F4"/>
    <mergeCell ref="C9:C10"/>
    <mergeCell ref="C11:C12"/>
    <mergeCell ref="C16:C17"/>
    <mergeCell ref="C18:C19"/>
    <mergeCell ref="C23:C24"/>
    <mergeCell ref="H7:H9"/>
    <mergeCell ref="H10:H12"/>
    <mergeCell ref="I7:I9"/>
    <mergeCell ref="I10:I12"/>
    <mergeCell ref="H14:H16"/>
    <mergeCell ref="I14:I16"/>
    <mergeCell ref="M7:M8"/>
    <mergeCell ref="N7:N8"/>
    <mergeCell ref="O7:O8"/>
    <mergeCell ref="M9:M10"/>
    <mergeCell ref="N9:N10"/>
    <mergeCell ref="O9:O10"/>
    <mergeCell ref="H17:H19"/>
    <mergeCell ref="M23:M24"/>
    <mergeCell ref="N23:N24"/>
    <mergeCell ref="A7:A12"/>
    <mergeCell ref="E7:F8"/>
    <mergeCell ref="A14:A19"/>
    <mergeCell ref="C14:C15"/>
    <mergeCell ref="D14:D15"/>
    <mergeCell ref="E14:F15"/>
    <mergeCell ref="C7:C8"/>
    <mergeCell ref="D7:D8"/>
    <mergeCell ref="D18:D19"/>
    <mergeCell ref="D9:D10"/>
    <mergeCell ref="D11:D12"/>
    <mergeCell ref="D16:D17"/>
    <mergeCell ref="A21:A26"/>
    <mergeCell ref="A28:A33"/>
    <mergeCell ref="C21:C22"/>
    <mergeCell ref="D21:D22"/>
    <mergeCell ref="E21:F22"/>
    <mergeCell ref="C28:C29"/>
    <mergeCell ref="D28:D29"/>
    <mergeCell ref="E28:F29"/>
    <mergeCell ref="H21:H23"/>
    <mergeCell ref="H24:H26"/>
    <mergeCell ref="H28:H30"/>
    <mergeCell ref="D30:D31"/>
    <mergeCell ref="D32:D33"/>
    <mergeCell ref="D23:D24"/>
    <mergeCell ref="D25:D26"/>
    <mergeCell ref="C25:C26"/>
    <mergeCell ref="C30:C31"/>
    <mergeCell ref="C32:C33"/>
    <mergeCell ref="H31:H33"/>
    <mergeCell ref="I31:I33"/>
    <mergeCell ref="K7:K10"/>
    <mergeCell ref="K11:K12"/>
    <mergeCell ref="L7:L8"/>
    <mergeCell ref="L9:L10"/>
    <mergeCell ref="L11:L12"/>
    <mergeCell ref="K18:K19"/>
    <mergeCell ref="L18:L19"/>
    <mergeCell ref="K25:K26"/>
    <mergeCell ref="L25:L26"/>
    <mergeCell ref="K32:K33"/>
    <mergeCell ref="L32:L33"/>
    <mergeCell ref="I17:I19"/>
    <mergeCell ref="I21:I23"/>
    <mergeCell ref="I24:I26"/>
    <mergeCell ref="I28:I30"/>
    <mergeCell ref="L23:L24"/>
    <mergeCell ref="O23:O24"/>
    <mergeCell ref="M11:M12"/>
    <mergeCell ref="N11:N12"/>
    <mergeCell ref="O11:O12"/>
    <mergeCell ref="K14:K17"/>
    <mergeCell ref="L14:L15"/>
    <mergeCell ref="M14:M15"/>
    <mergeCell ref="N14:N15"/>
    <mergeCell ref="O14:O15"/>
    <mergeCell ref="L16:L17"/>
    <mergeCell ref="M16:M17"/>
    <mergeCell ref="N16:N17"/>
    <mergeCell ref="O16:O17"/>
    <mergeCell ref="M32:M33"/>
    <mergeCell ref="N32:N33"/>
    <mergeCell ref="O32:O33"/>
    <mergeCell ref="C2:K2"/>
    <mergeCell ref="M25:M26"/>
    <mergeCell ref="N25:N26"/>
    <mergeCell ref="O25:O26"/>
    <mergeCell ref="K28:K31"/>
    <mergeCell ref="L28:L29"/>
    <mergeCell ref="M28:M29"/>
    <mergeCell ref="N28:N29"/>
    <mergeCell ref="O28:O29"/>
    <mergeCell ref="L30:L31"/>
    <mergeCell ref="M30:M31"/>
    <mergeCell ref="N30:N31"/>
    <mergeCell ref="O30:O31"/>
    <mergeCell ref="M18:M19"/>
    <mergeCell ref="N18:N19"/>
    <mergeCell ref="O18:O19"/>
    <mergeCell ref="K21:K24"/>
    <mergeCell ref="L21:L22"/>
    <mergeCell ref="M21:M22"/>
    <mergeCell ref="N21:N22"/>
    <mergeCell ref="O21:O2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F34"/>
  <sheetViews>
    <sheetView workbookViewId="0">
      <selection activeCell="D23" sqref="D23"/>
    </sheetView>
  </sheetViews>
  <sheetFormatPr baseColWidth="10" defaultColWidth="11.28515625" defaultRowHeight="15" x14ac:dyDescent="0.25"/>
  <cols>
    <col min="1" max="1" width="17.7109375" customWidth="1"/>
    <col min="2" max="2" width="4.140625" customWidth="1"/>
    <col min="3" max="5" width="20" customWidth="1"/>
  </cols>
  <sheetData>
    <row r="1" spans="1:6" x14ac:dyDescent="0.25">
      <c r="C1" s="1" t="s">
        <v>0</v>
      </c>
      <c r="F1" s="1"/>
    </row>
    <row r="2" spans="1:6" ht="24" x14ac:dyDescent="0.25">
      <c r="C2" s="723" t="s">
        <v>194</v>
      </c>
      <c r="D2" s="723"/>
      <c r="E2" s="723"/>
      <c r="F2" s="3"/>
    </row>
    <row r="4" spans="1:6" ht="41.25" customHeight="1" x14ac:dyDescent="0.25">
      <c r="C4" s="708" t="s">
        <v>243</v>
      </c>
      <c r="D4" s="708"/>
      <c r="E4" s="708"/>
    </row>
    <row r="5" spans="1:6" ht="15.75" thickBot="1" x14ac:dyDescent="0.3"/>
    <row r="6" spans="1:6" ht="27.75" thickBot="1" x14ac:dyDescent="0.3">
      <c r="C6" s="200" t="s">
        <v>187</v>
      </c>
      <c r="D6" s="770" t="s">
        <v>195</v>
      </c>
      <c r="E6" s="771"/>
    </row>
    <row r="7" spans="1:6" x14ac:dyDescent="0.25">
      <c r="A7" s="709" t="s">
        <v>211</v>
      </c>
      <c r="B7" s="230"/>
      <c r="C7" s="766" t="s">
        <v>123</v>
      </c>
      <c r="D7" s="761">
        <f>'Grille tarifaire'!I92</f>
        <v>5.81</v>
      </c>
      <c r="E7" s="792"/>
    </row>
    <row r="8" spans="1:6" ht="15.75" thickBot="1" x14ac:dyDescent="0.3">
      <c r="A8" s="710"/>
      <c r="B8" s="230"/>
      <c r="C8" s="745"/>
      <c r="D8" s="763"/>
      <c r="E8" s="793"/>
    </row>
    <row r="9" spans="1:6" ht="15.75" thickBot="1" x14ac:dyDescent="0.3">
      <c r="A9" s="710"/>
      <c r="B9" s="230"/>
      <c r="C9" s="737" t="s">
        <v>125</v>
      </c>
      <c r="D9" s="62" t="s">
        <v>139</v>
      </c>
      <c r="E9" s="202">
        <f>'Grille tarifaire'!I93</f>
        <v>15.12</v>
      </c>
    </row>
    <row r="10" spans="1:6" ht="15.75" thickBot="1" x14ac:dyDescent="0.3">
      <c r="A10" s="710"/>
      <c r="B10" s="230"/>
      <c r="C10" s="745"/>
      <c r="D10" s="64" t="s">
        <v>140</v>
      </c>
      <c r="E10" s="202">
        <f>'Grille tarifaire'!I94</f>
        <v>58.12</v>
      </c>
    </row>
    <row r="11" spans="1:6" ht="15.75" thickBot="1" x14ac:dyDescent="0.3">
      <c r="A11" s="710"/>
      <c r="B11" s="230"/>
      <c r="C11" s="737" t="s">
        <v>126</v>
      </c>
      <c r="D11" s="64" t="s">
        <v>139</v>
      </c>
      <c r="E11" s="202">
        <f>'Grille tarifaire'!I95</f>
        <v>76.73</v>
      </c>
    </row>
    <row r="12" spans="1:6" ht="15.75" thickBot="1" x14ac:dyDescent="0.3">
      <c r="A12" s="710"/>
      <c r="B12" s="230"/>
      <c r="C12" s="745"/>
      <c r="D12" s="64" t="s">
        <v>140</v>
      </c>
      <c r="E12" s="203">
        <f>'Grille tarifaire'!I96</f>
        <v>134.86000000000001</v>
      </c>
    </row>
    <row r="13" spans="1:6" ht="15.75" thickBot="1" x14ac:dyDescent="0.3">
      <c r="A13" s="88"/>
      <c r="C13" s="6"/>
      <c r="D13" s="6"/>
      <c r="E13" s="6"/>
    </row>
    <row r="14" spans="1:6" ht="15.75" customHeight="1" x14ac:dyDescent="0.25">
      <c r="A14" s="709" t="s">
        <v>209</v>
      </c>
      <c r="C14" s="731" t="s">
        <v>123</v>
      </c>
      <c r="D14" s="787">
        <f>'Grille tarifaire'!J92</f>
        <v>5.81</v>
      </c>
      <c r="E14" s="788"/>
    </row>
    <row r="15" spans="1:6" ht="15.75" thickBot="1" x14ac:dyDescent="0.3">
      <c r="A15" s="710"/>
      <c r="C15" s="732"/>
      <c r="D15" s="750"/>
      <c r="E15" s="789"/>
    </row>
    <row r="16" spans="1:6" ht="15.75" thickBot="1" x14ac:dyDescent="0.3">
      <c r="A16" s="710"/>
      <c r="C16" s="731" t="s">
        <v>125</v>
      </c>
      <c r="D16" s="62" t="s">
        <v>139</v>
      </c>
      <c r="E16" s="205">
        <f>'Grille tarifaire'!J93</f>
        <v>15.12</v>
      </c>
    </row>
    <row r="17" spans="1:5" ht="15.75" customHeight="1" thickBot="1" x14ac:dyDescent="0.3">
      <c r="A17" s="710"/>
      <c r="C17" s="732"/>
      <c r="D17" s="62" t="s">
        <v>140</v>
      </c>
      <c r="E17" s="205">
        <f>'Grille tarifaire'!J94</f>
        <v>58.11</v>
      </c>
    </row>
    <row r="18" spans="1:5" ht="15.75" thickBot="1" x14ac:dyDescent="0.3">
      <c r="A18" s="710"/>
      <c r="B18" s="230"/>
      <c r="C18" s="790" t="s">
        <v>126</v>
      </c>
      <c r="D18" s="64" t="s">
        <v>139</v>
      </c>
      <c r="E18" s="204">
        <f>'Grille tarifaire'!J95</f>
        <v>76.72</v>
      </c>
    </row>
    <row r="19" spans="1:5" ht="15.75" thickBot="1" x14ac:dyDescent="0.3">
      <c r="A19" s="710"/>
      <c r="B19" s="230"/>
      <c r="C19" s="791"/>
      <c r="D19" s="62" t="s">
        <v>140</v>
      </c>
      <c r="E19" s="205">
        <f>'Grille tarifaire'!J96</f>
        <v>134.85</v>
      </c>
    </row>
    <row r="20" spans="1:5" ht="15.75" customHeight="1" thickBot="1" x14ac:dyDescent="0.3">
      <c r="A20" s="88" t="s">
        <v>212</v>
      </c>
      <c r="C20" s="285"/>
      <c r="D20" s="228"/>
      <c r="E20" s="228"/>
    </row>
    <row r="21" spans="1:5" x14ac:dyDescent="0.25">
      <c r="A21" s="710" t="s">
        <v>210</v>
      </c>
      <c r="C21" s="737" t="s">
        <v>123</v>
      </c>
      <c r="D21" s="787">
        <f>'Grille tarifaire'!K92</f>
        <v>6.2</v>
      </c>
      <c r="E21" s="788"/>
    </row>
    <row r="22" spans="1:5" ht="15.75" thickBot="1" x14ac:dyDescent="0.3">
      <c r="A22" s="710"/>
      <c r="C22" s="745"/>
      <c r="D22" s="750"/>
      <c r="E22" s="789"/>
    </row>
    <row r="23" spans="1:5" ht="15.75" thickBot="1" x14ac:dyDescent="0.3">
      <c r="A23" s="710"/>
      <c r="C23" s="737" t="s">
        <v>125</v>
      </c>
      <c r="D23" s="64" t="s">
        <v>139</v>
      </c>
      <c r="E23" s="205">
        <f>'Grille tarifaire'!K93</f>
        <v>16.13</v>
      </c>
    </row>
    <row r="24" spans="1:5" ht="15.75" thickBot="1" x14ac:dyDescent="0.3">
      <c r="A24" s="710"/>
      <c r="C24" s="745"/>
      <c r="D24" s="64" t="s">
        <v>140</v>
      </c>
      <c r="E24" s="204">
        <f>'Grille tarifaire'!K94</f>
        <v>62</v>
      </c>
    </row>
    <row r="25" spans="1:5" ht="15.75" thickBot="1" x14ac:dyDescent="0.3">
      <c r="A25" s="710"/>
      <c r="C25" s="737" t="s">
        <v>126</v>
      </c>
      <c r="D25" s="64" t="s">
        <v>139</v>
      </c>
      <c r="E25" s="204">
        <f>'Grille tarifaire'!K95</f>
        <v>81.86</v>
      </c>
    </row>
    <row r="26" spans="1:5" ht="15.75" thickBot="1" x14ac:dyDescent="0.3">
      <c r="A26" s="710"/>
      <c r="C26" s="745"/>
      <c r="D26" s="64" t="s">
        <v>140</v>
      </c>
      <c r="E26" s="205">
        <f>'Grille tarifaire'!K96</f>
        <v>143.87</v>
      </c>
    </row>
    <row r="27" spans="1:5" ht="15.75" thickBot="1" x14ac:dyDescent="0.3"/>
    <row r="28" spans="1:5" x14ac:dyDescent="0.25">
      <c r="A28" s="709" t="s">
        <v>212</v>
      </c>
      <c r="C28" s="731" t="s">
        <v>123</v>
      </c>
      <c r="D28" s="787">
        <f>'Grille tarifaire'!L92</f>
        <v>6.35</v>
      </c>
      <c r="E28" s="788"/>
    </row>
    <row r="29" spans="1:5" ht="15.75" thickBot="1" x14ac:dyDescent="0.3">
      <c r="A29" s="710"/>
      <c r="C29" s="745"/>
      <c r="D29" s="750"/>
      <c r="E29" s="789"/>
    </row>
    <row r="30" spans="1:5" ht="15.75" thickBot="1" x14ac:dyDescent="0.3">
      <c r="A30" s="710"/>
      <c r="C30" s="744" t="s">
        <v>125</v>
      </c>
      <c r="D30" s="62" t="s">
        <v>139</v>
      </c>
      <c r="E30" s="205">
        <f>'Grille tarifaire'!L93</f>
        <v>16.53</v>
      </c>
    </row>
    <row r="31" spans="1:5" ht="15.75" thickBot="1" x14ac:dyDescent="0.3">
      <c r="A31" s="710"/>
      <c r="C31" s="732"/>
      <c r="D31" s="64" t="s">
        <v>140</v>
      </c>
      <c r="E31" s="205">
        <f>'Grille tarifaire'!L94</f>
        <v>63.55</v>
      </c>
    </row>
    <row r="32" spans="1:5" ht="15.75" thickBot="1" x14ac:dyDescent="0.3">
      <c r="A32" s="710"/>
      <c r="C32" s="731" t="s">
        <v>126</v>
      </c>
      <c r="D32" s="62" t="s">
        <v>139</v>
      </c>
      <c r="E32" s="205">
        <f>'Grille tarifaire'!L95</f>
        <v>83.9</v>
      </c>
    </row>
    <row r="33" spans="1:5" ht="15.75" thickBot="1" x14ac:dyDescent="0.3">
      <c r="A33" s="710"/>
      <c r="B33" s="230"/>
      <c r="C33" s="732"/>
      <c r="D33" s="64" t="s">
        <v>140</v>
      </c>
      <c r="E33" s="205">
        <f>'Grille tarifaire'!L96</f>
        <v>147.46</v>
      </c>
    </row>
    <row r="34" spans="1:5" x14ac:dyDescent="0.25">
      <c r="D34" s="6"/>
      <c r="E34" s="6"/>
    </row>
  </sheetData>
  <mergeCells count="23">
    <mergeCell ref="A21:A26"/>
    <mergeCell ref="C21:C22"/>
    <mergeCell ref="C7:C8"/>
    <mergeCell ref="D7:E8"/>
    <mergeCell ref="C9:C10"/>
    <mergeCell ref="A7:A12"/>
    <mergeCell ref="C11:C12"/>
    <mergeCell ref="C2:E2"/>
    <mergeCell ref="D21:E22"/>
    <mergeCell ref="C23:C24"/>
    <mergeCell ref="C25:C26"/>
    <mergeCell ref="A28:A33"/>
    <mergeCell ref="C28:C29"/>
    <mergeCell ref="D28:E29"/>
    <mergeCell ref="C30:C31"/>
    <mergeCell ref="C32:C33"/>
    <mergeCell ref="C4:E4"/>
    <mergeCell ref="A14:A19"/>
    <mergeCell ref="C14:C15"/>
    <mergeCell ref="D14:E15"/>
    <mergeCell ref="C16:C17"/>
    <mergeCell ref="C18:C19"/>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K26"/>
  <sheetViews>
    <sheetView workbookViewId="0">
      <selection activeCell="E15" sqref="E15:E17"/>
    </sheetView>
  </sheetViews>
  <sheetFormatPr baseColWidth="10" defaultColWidth="11.28515625" defaultRowHeight="15" x14ac:dyDescent="0.25"/>
  <cols>
    <col min="1" max="1" width="17.7109375" customWidth="1"/>
    <col min="2" max="2" width="3" customWidth="1"/>
    <col min="3" max="4" width="26.28515625" customWidth="1"/>
    <col min="5" max="5" width="11.85546875" bestFit="1" customWidth="1"/>
  </cols>
  <sheetData>
    <row r="1" spans="1:11" x14ac:dyDescent="0.25">
      <c r="C1" s="1" t="s">
        <v>0</v>
      </c>
      <c r="D1" s="1"/>
    </row>
    <row r="2" spans="1:11" ht="24" x14ac:dyDescent="0.25">
      <c r="C2" s="723" t="s">
        <v>196</v>
      </c>
      <c r="D2" s="723"/>
      <c r="E2" s="723"/>
      <c r="F2" s="723"/>
      <c r="G2" s="723"/>
      <c r="H2" s="723"/>
      <c r="I2" s="723"/>
      <c r="J2" s="723"/>
      <c r="K2" s="723"/>
    </row>
    <row r="4" spans="1:11" ht="36" customHeight="1" x14ac:dyDescent="0.25">
      <c r="C4" s="707" t="s">
        <v>244</v>
      </c>
      <c r="D4" s="708"/>
      <c r="E4" s="708"/>
    </row>
    <row r="5" spans="1:11" ht="15.75" thickBot="1" x14ac:dyDescent="0.3"/>
    <row r="6" spans="1:11" ht="27.75" thickBot="1" x14ac:dyDescent="0.3">
      <c r="C6" s="87" t="s">
        <v>197</v>
      </c>
      <c r="D6" s="94" t="s">
        <v>198</v>
      </c>
      <c r="E6" s="68" t="s">
        <v>199</v>
      </c>
    </row>
    <row r="7" spans="1:11" ht="15.75" thickBot="1" x14ac:dyDescent="0.3">
      <c r="A7" s="708" t="s">
        <v>211</v>
      </c>
      <c r="B7" s="5"/>
      <c r="C7" s="274" t="s">
        <v>125</v>
      </c>
      <c r="D7" s="274" t="s">
        <v>123</v>
      </c>
      <c r="E7" s="286">
        <f>'Grille tarifaire'!I97</f>
        <v>1.82</v>
      </c>
    </row>
    <row r="8" spans="1:11" ht="15.75" thickBot="1" x14ac:dyDescent="0.3">
      <c r="A8" s="708"/>
      <c r="B8" s="5"/>
      <c r="C8" s="275" t="s">
        <v>150</v>
      </c>
      <c r="D8" s="275" t="s">
        <v>125</v>
      </c>
      <c r="E8" s="286">
        <f>'Grille tarifaire'!I98</f>
        <v>3.91</v>
      </c>
    </row>
    <row r="9" spans="1:11" ht="15.75" thickBot="1" x14ac:dyDescent="0.3">
      <c r="A9" s="708"/>
      <c r="B9" s="5"/>
      <c r="C9" s="276" t="s">
        <v>151</v>
      </c>
      <c r="D9" s="276" t="s">
        <v>126</v>
      </c>
      <c r="E9" s="286">
        <f>'Grille tarifaire'!I99</f>
        <v>6.91</v>
      </c>
    </row>
    <row r="10" spans="1:11" ht="15.75" thickBot="1" x14ac:dyDescent="0.3">
      <c r="A10" s="88"/>
      <c r="C10" s="6"/>
      <c r="D10" s="228"/>
      <c r="E10" s="228"/>
    </row>
    <row r="11" spans="1:11" ht="15.75" thickBot="1" x14ac:dyDescent="0.3">
      <c r="A11" s="708" t="s">
        <v>209</v>
      </c>
      <c r="C11" s="275" t="s">
        <v>125</v>
      </c>
      <c r="D11" s="276" t="s">
        <v>123</v>
      </c>
      <c r="E11" s="287">
        <f>'Grille tarifaire'!J97</f>
        <v>1.82</v>
      </c>
    </row>
    <row r="12" spans="1:11" ht="15.75" thickBot="1" x14ac:dyDescent="0.3">
      <c r="A12" s="708"/>
      <c r="C12" s="276" t="s">
        <v>150</v>
      </c>
      <c r="D12" s="276" t="s">
        <v>125</v>
      </c>
      <c r="E12" s="287">
        <f>'Grille tarifaire'!J98</f>
        <v>3.91</v>
      </c>
    </row>
    <row r="13" spans="1:11" ht="15.75" thickBot="1" x14ac:dyDescent="0.3">
      <c r="A13" s="708"/>
      <c r="C13" s="276" t="s">
        <v>151</v>
      </c>
      <c r="D13" s="276" t="s">
        <v>126</v>
      </c>
      <c r="E13" s="287">
        <f>'Grille tarifaire'!J99</f>
        <v>6.91</v>
      </c>
    </row>
    <row r="14" spans="1:11" ht="15.75" thickBot="1" x14ac:dyDescent="0.3">
      <c r="A14" s="90"/>
      <c r="C14" s="228"/>
      <c r="D14" s="228"/>
      <c r="E14" s="228"/>
    </row>
    <row r="15" spans="1:11" ht="15.75" thickBot="1" x14ac:dyDescent="0.3">
      <c r="A15" s="708" t="s">
        <v>210</v>
      </c>
      <c r="C15" s="276" t="s">
        <v>125</v>
      </c>
      <c r="D15" s="276" t="s">
        <v>123</v>
      </c>
      <c r="E15" s="287">
        <f>'Grille tarifaire'!K97</f>
        <v>1.94</v>
      </c>
    </row>
    <row r="16" spans="1:11" ht="15.75" thickBot="1" x14ac:dyDescent="0.3">
      <c r="A16" s="708"/>
      <c r="C16" s="276" t="s">
        <v>150</v>
      </c>
      <c r="D16" s="276" t="s">
        <v>125</v>
      </c>
      <c r="E16" s="287">
        <f>'Grille tarifaire'!K98</f>
        <v>4.17</v>
      </c>
    </row>
    <row r="17" spans="1:5" ht="15.75" thickBot="1" x14ac:dyDescent="0.3">
      <c r="A17" s="708"/>
      <c r="C17" s="276" t="s">
        <v>151</v>
      </c>
      <c r="D17" s="276" t="s">
        <v>126</v>
      </c>
      <c r="E17" s="287">
        <f>'Grille tarifaire'!K99</f>
        <v>7.37</v>
      </c>
    </row>
    <row r="18" spans="1:5" ht="15.75" thickBot="1" x14ac:dyDescent="0.3">
      <c r="A18" s="88"/>
      <c r="C18" s="228"/>
      <c r="D18" s="228"/>
      <c r="E18" s="228"/>
    </row>
    <row r="19" spans="1:5" ht="15.75" thickBot="1" x14ac:dyDescent="0.3">
      <c r="A19" s="708" t="s">
        <v>212</v>
      </c>
      <c r="C19" s="275" t="s">
        <v>125</v>
      </c>
      <c r="D19" s="275" t="s">
        <v>123</v>
      </c>
      <c r="E19" s="287">
        <f>'Grille tarifaire'!L97</f>
        <v>1.99</v>
      </c>
    </row>
    <row r="20" spans="1:5" ht="15.75" thickBot="1" x14ac:dyDescent="0.3">
      <c r="A20" s="708"/>
      <c r="C20" s="276" t="s">
        <v>150</v>
      </c>
      <c r="D20" s="276" t="s">
        <v>125</v>
      </c>
      <c r="E20" s="287">
        <f>'Grille tarifaire'!L98</f>
        <v>4.28</v>
      </c>
    </row>
    <row r="21" spans="1:5" ht="15.75" thickBot="1" x14ac:dyDescent="0.3">
      <c r="A21" s="708"/>
      <c r="C21" s="276" t="s">
        <v>151</v>
      </c>
      <c r="D21" s="276" t="s">
        <v>126</v>
      </c>
      <c r="E21" s="287">
        <f>'Grille tarifaire'!L99</f>
        <v>7.56</v>
      </c>
    </row>
    <row r="22" spans="1:5" ht="15.75" thickBot="1" x14ac:dyDescent="0.3">
      <c r="A22" s="92"/>
    </row>
    <row r="24" spans="1:5" x14ac:dyDescent="0.25">
      <c r="A24" s="88"/>
    </row>
    <row r="25" spans="1:5" x14ac:dyDescent="0.25">
      <c r="A25" s="88"/>
    </row>
    <row r="26" spans="1:5" x14ac:dyDescent="0.25">
      <c r="A26" s="88"/>
    </row>
  </sheetData>
  <mergeCells count="6">
    <mergeCell ref="A19:A21"/>
    <mergeCell ref="C2:K2"/>
    <mergeCell ref="C4:E4"/>
    <mergeCell ref="A7:A9"/>
    <mergeCell ref="A11:A13"/>
    <mergeCell ref="A15:A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sheetPr>
  <dimension ref="A1:K22"/>
  <sheetViews>
    <sheetView workbookViewId="0">
      <selection activeCell="D13" sqref="D13:D14"/>
    </sheetView>
  </sheetViews>
  <sheetFormatPr baseColWidth="10" defaultColWidth="11.28515625" defaultRowHeight="15" x14ac:dyDescent="0.25"/>
  <cols>
    <col min="1" max="1" width="17.7109375" customWidth="1"/>
    <col min="2" max="2" width="3" customWidth="1"/>
    <col min="3" max="4" width="25.7109375" customWidth="1"/>
  </cols>
  <sheetData>
    <row r="1" spans="1:11" x14ac:dyDescent="0.25">
      <c r="C1" s="1" t="s">
        <v>0</v>
      </c>
    </row>
    <row r="2" spans="1:11" ht="48" customHeight="1" x14ac:dyDescent="0.25">
      <c r="C2" s="715" t="s">
        <v>200</v>
      </c>
      <c r="D2" s="715"/>
      <c r="E2" s="715"/>
      <c r="F2" s="715"/>
      <c r="G2" s="715"/>
      <c r="H2" s="715"/>
      <c r="I2" s="715"/>
      <c r="J2" s="715"/>
      <c r="K2" s="715"/>
    </row>
    <row r="4" spans="1:11" ht="44.25" customHeight="1" x14ac:dyDescent="0.25">
      <c r="C4" s="707" t="s">
        <v>245</v>
      </c>
      <c r="D4" s="708"/>
    </row>
    <row r="5" spans="1:11" ht="15.75" thickBot="1" x14ac:dyDescent="0.3"/>
    <row r="6" spans="1:11" ht="15.75" thickBot="1" x14ac:dyDescent="0.3">
      <c r="C6" s="87" t="s">
        <v>157</v>
      </c>
      <c r="D6" s="68" t="s">
        <v>201</v>
      </c>
    </row>
    <row r="7" spans="1:11" ht="15.75" thickBot="1" x14ac:dyDescent="0.3">
      <c r="A7" s="708" t="s">
        <v>211</v>
      </c>
      <c r="C7" s="274" t="s">
        <v>125</v>
      </c>
      <c r="D7" s="288">
        <f>'Grille tarifaire'!I100</f>
        <v>1.43E-2</v>
      </c>
    </row>
    <row r="8" spans="1:11" ht="15.75" thickBot="1" x14ac:dyDescent="0.3">
      <c r="A8" s="708"/>
      <c r="C8" s="275" t="s">
        <v>126</v>
      </c>
      <c r="D8" s="289">
        <f>'Grille tarifaire'!I101</f>
        <v>8.9999999999999993E-3</v>
      </c>
    </row>
    <row r="9" spans="1:11" ht="15.75" thickBot="1" x14ac:dyDescent="0.3">
      <c r="A9" s="88"/>
      <c r="C9" s="228"/>
      <c r="D9" s="228"/>
    </row>
    <row r="10" spans="1:11" ht="15.75" thickBot="1" x14ac:dyDescent="0.3">
      <c r="A10" s="708" t="s">
        <v>209</v>
      </c>
      <c r="C10" s="276" t="s">
        <v>125</v>
      </c>
      <c r="D10" s="290">
        <f>'Grille tarifaire'!J100</f>
        <v>1.43E-2</v>
      </c>
    </row>
    <row r="11" spans="1:11" ht="15.75" thickBot="1" x14ac:dyDescent="0.3">
      <c r="A11" s="708"/>
      <c r="C11" s="276" t="s">
        <v>126</v>
      </c>
      <c r="D11" s="290">
        <f>'Grille tarifaire'!J101</f>
        <v>8.9999999999999993E-3</v>
      </c>
    </row>
    <row r="12" spans="1:11" ht="15.75" thickBot="1" x14ac:dyDescent="0.3">
      <c r="A12" s="211"/>
      <c r="C12" s="228"/>
      <c r="D12" s="228"/>
    </row>
    <row r="13" spans="1:11" ht="15.75" thickBot="1" x14ac:dyDescent="0.3">
      <c r="A13" s="708" t="s">
        <v>210</v>
      </c>
      <c r="C13" s="276" t="s">
        <v>125</v>
      </c>
      <c r="D13" s="290">
        <f>'Grille tarifaire'!K100</f>
        <v>1.43E-2</v>
      </c>
    </row>
    <row r="14" spans="1:11" ht="15.75" thickBot="1" x14ac:dyDescent="0.3">
      <c r="A14" s="708"/>
      <c r="C14" s="276" t="s">
        <v>126</v>
      </c>
      <c r="D14" s="290">
        <f>'Grille tarifaire'!K101</f>
        <v>8.9999999999999993E-3</v>
      </c>
    </row>
    <row r="15" spans="1:11" ht="15.75" thickBot="1" x14ac:dyDescent="0.3">
      <c r="A15" s="88"/>
      <c r="C15" s="228"/>
      <c r="D15" s="228"/>
    </row>
    <row r="16" spans="1:11" ht="15.75" thickBot="1" x14ac:dyDescent="0.3">
      <c r="A16" s="708" t="s">
        <v>212</v>
      </c>
      <c r="C16" s="275" t="s">
        <v>125</v>
      </c>
      <c r="D16" s="291">
        <f>'Grille tarifaire'!L100</f>
        <v>1.5599999999999999E-2</v>
      </c>
    </row>
    <row r="17" spans="1:4" ht="15.75" thickBot="1" x14ac:dyDescent="0.3">
      <c r="A17" s="708"/>
      <c r="C17" s="276" t="s">
        <v>126</v>
      </c>
      <c r="D17" s="290">
        <f>'Grille tarifaire'!L101</f>
        <v>9.7999999999999997E-3</v>
      </c>
    </row>
    <row r="18" spans="1:4" x14ac:dyDescent="0.25">
      <c r="A18" s="210"/>
    </row>
    <row r="20" spans="1:4" x14ac:dyDescent="0.25">
      <c r="A20" s="88"/>
    </row>
    <row r="21" spans="1:4" x14ac:dyDescent="0.25">
      <c r="A21" s="88"/>
    </row>
    <row r="22" spans="1:4" x14ac:dyDescent="0.25">
      <c r="A22" s="88"/>
    </row>
  </sheetData>
  <mergeCells count="6">
    <mergeCell ref="A16:A17"/>
    <mergeCell ref="C2:K2"/>
    <mergeCell ref="C4:D4"/>
    <mergeCell ref="A7:A8"/>
    <mergeCell ref="A10:A11"/>
    <mergeCell ref="A13:A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sheetPr>
  <dimension ref="A1:H26"/>
  <sheetViews>
    <sheetView zoomScale="85" zoomScaleNormal="85" workbookViewId="0">
      <selection activeCell="I13" sqref="I13"/>
    </sheetView>
  </sheetViews>
  <sheetFormatPr baseColWidth="10" defaultColWidth="11.28515625" defaultRowHeight="15" x14ac:dyDescent="0.25"/>
  <cols>
    <col min="1" max="1" width="17.7109375" customWidth="1"/>
    <col min="2" max="2" width="3" customWidth="1"/>
    <col min="3" max="4" width="26.28515625" customWidth="1"/>
    <col min="5" max="5" width="4.85546875" customWidth="1"/>
    <col min="6" max="6" width="26.7109375" customWidth="1"/>
    <col min="7" max="7" width="26.28515625" customWidth="1"/>
    <col min="8" max="8" width="4.7109375" customWidth="1"/>
    <col min="9" max="9" width="17.7109375" customWidth="1"/>
    <col min="10" max="11" width="26.28515625" customWidth="1"/>
    <col min="13" max="14" width="26.28515625" customWidth="1"/>
  </cols>
  <sheetData>
    <row r="1" spans="1:8" x14ac:dyDescent="0.25">
      <c r="C1" s="1" t="s">
        <v>0</v>
      </c>
      <c r="D1" s="1"/>
      <c r="G1" s="1"/>
    </row>
    <row r="2" spans="1:8" ht="24" x14ac:dyDescent="0.25">
      <c r="C2" s="3" t="s">
        <v>202</v>
      </c>
      <c r="D2" s="3"/>
      <c r="G2" s="3"/>
    </row>
    <row r="4" spans="1:8" ht="45.75" customHeight="1" x14ac:dyDescent="0.25">
      <c r="C4" s="707" t="s">
        <v>260</v>
      </c>
      <c r="D4" s="708"/>
      <c r="F4" s="707" t="s">
        <v>246</v>
      </c>
      <c r="G4" s="708"/>
    </row>
    <row r="5" spans="1:8" ht="15.75" thickBot="1" x14ac:dyDescent="0.3"/>
    <row r="6" spans="1:8" ht="15.75" thickBot="1" x14ac:dyDescent="0.3">
      <c r="C6" s="87" t="s">
        <v>203</v>
      </c>
      <c r="D6" s="68" t="s">
        <v>154</v>
      </c>
      <c r="F6" s="87" t="s">
        <v>203</v>
      </c>
      <c r="G6" s="68" t="s">
        <v>154</v>
      </c>
    </row>
    <row r="7" spans="1:8" ht="39" customHeight="1" thickBot="1" x14ac:dyDescent="0.3">
      <c r="A7" s="711" t="s">
        <v>211</v>
      </c>
      <c r="C7" s="274" t="s">
        <v>264</v>
      </c>
      <c r="D7" s="292">
        <f>'Grille tarifaire'!I102</f>
        <v>10.3</v>
      </c>
      <c r="F7" s="274" t="s">
        <v>153</v>
      </c>
      <c r="G7" s="292">
        <f>'Grille tarifaire'!I104</f>
        <v>3.05</v>
      </c>
    </row>
    <row r="8" spans="1:8" ht="42" customHeight="1" thickBot="1" x14ac:dyDescent="0.3">
      <c r="A8" s="708"/>
      <c r="C8" s="275" t="s">
        <v>265</v>
      </c>
      <c r="D8" s="294">
        <f>'Grille tarifaire'!I103</f>
        <v>0.9</v>
      </c>
      <c r="E8" s="233"/>
      <c r="F8" s="275" t="s">
        <v>155</v>
      </c>
      <c r="G8" s="294">
        <f>'Grille tarifaire'!I105</f>
        <v>0.53</v>
      </c>
      <c r="H8" s="226"/>
    </row>
    <row r="9" spans="1:8" ht="27.75" customHeight="1" x14ac:dyDescent="0.25">
      <c r="A9" s="88"/>
      <c r="C9" s="6"/>
      <c r="F9" s="6"/>
    </row>
    <row r="10" spans="1:8" ht="15.75" thickBot="1" x14ac:dyDescent="0.3">
      <c r="A10" s="88"/>
      <c r="C10" s="7"/>
      <c r="F10" s="7"/>
    </row>
    <row r="11" spans="1:8" ht="41.25" customHeight="1" thickBot="1" x14ac:dyDescent="0.3">
      <c r="A11" s="709" t="s">
        <v>209</v>
      </c>
      <c r="B11" s="230"/>
      <c r="C11" s="275" t="s">
        <v>264</v>
      </c>
      <c r="D11" s="293">
        <f>'Grille tarifaire'!J102</f>
        <v>10.3</v>
      </c>
      <c r="F11" s="275" t="s">
        <v>153</v>
      </c>
      <c r="G11" s="293">
        <f>'Grille tarifaire'!J104</f>
        <v>3.05</v>
      </c>
    </row>
    <row r="12" spans="1:8" ht="37.5" customHeight="1" thickBot="1" x14ac:dyDescent="0.3">
      <c r="A12" s="710"/>
      <c r="B12" s="230"/>
      <c r="C12" s="275" t="s">
        <v>265</v>
      </c>
      <c r="D12" s="293">
        <f>'Grille tarifaire'!J103</f>
        <v>0.9</v>
      </c>
      <c r="F12" s="275" t="s">
        <v>155</v>
      </c>
      <c r="G12" s="293">
        <f>'Grille tarifaire'!J105</f>
        <v>0.53</v>
      </c>
    </row>
    <row r="13" spans="1:8" ht="27.75" customHeight="1" x14ac:dyDescent="0.25">
      <c r="A13" s="90"/>
      <c r="B13" s="232"/>
      <c r="C13" s="6"/>
      <c r="F13" s="6"/>
    </row>
    <row r="14" spans="1:8" ht="15.75" thickBot="1" x14ac:dyDescent="0.3">
      <c r="A14" s="90"/>
    </row>
    <row r="15" spans="1:8" ht="38.25" customHeight="1" thickBot="1" x14ac:dyDescent="0.3">
      <c r="A15" s="711" t="s">
        <v>210</v>
      </c>
      <c r="B15" s="5"/>
      <c r="C15" s="275" t="s">
        <v>264</v>
      </c>
      <c r="D15" s="293">
        <f>'Grille tarifaire'!K102</f>
        <v>10.99</v>
      </c>
      <c r="F15" s="275" t="s">
        <v>153</v>
      </c>
      <c r="G15" s="293">
        <f>'Grille tarifaire'!K104</f>
        <v>3.25</v>
      </c>
    </row>
    <row r="16" spans="1:8" ht="42" customHeight="1" thickBot="1" x14ac:dyDescent="0.3">
      <c r="A16" s="708"/>
      <c r="B16" s="5"/>
      <c r="C16" s="275" t="s">
        <v>265</v>
      </c>
      <c r="D16" s="293">
        <f>'Grille tarifaire'!K103</f>
        <v>0.96</v>
      </c>
      <c r="F16" s="275" t="s">
        <v>155</v>
      </c>
      <c r="G16" s="293">
        <f>'Grille tarifaire'!K105</f>
        <v>0.56999999999999995</v>
      </c>
    </row>
    <row r="17" spans="1:7" ht="27.75" customHeight="1" x14ac:dyDescent="0.25">
      <c r="A17" s="88"/>
      <c r="C17" s="6"/>
    </row>
    <row r="18" spans="1:7" ht="15.75" thickBot="1" x14ac:dyDescent="0.3">
      <c r="A18" s="88"/>
    </row>
    <row r="19" spans="1:7" ht="42" customHeight="1" thickBot="1" x14ac:dyDescent="0.3">
      <c r="A19" s="710" t="s">
        <v>212</v>
      </c>
      <c r="B19" s="230"/>
      <c r="C19" s="275" t="s">
        <v>264</v>
      </c>
      <c r="D19" s="293">
        <f>'Grille tarifaire'!L102</f>
        <v>11.26</v>
      </c>
      <c r="F19" s="275" t="s">
        <v>153</v>
      </c>
      <c r="G19" s="293">
        <f>'Grille tarifaire'!L104</f>
        <v>3.33</v>
      </c>
    </row>
    <row r="20" spans="1:7" ht="37.5" customHeight="1" thickBot="1" x14ac:dyDescent="0.3">
      <c r="A20" s="710"/>
      <c r="B20" s="230"/>
      <c r="C20" s="321" t="s">
        <v>265</v>
      </c>
      <c r="D20" s="293">
        <f>'Grille tarifaire'!L103</f>
        <v>0.98</v>
      </c>
      <c r="F20" s="275" t="s">
        <v>155</v>
      </c>
      <c r="G20" s="293">
        <f>'Grille tarifaire'!L105</f>
        <v>0.57999999999999996</v>
      </c>
    </row>
    <row r="21" spans="1:7" ht="27.75" customHeight="1" x14ac:dyDescent="0.25">
      <c r="A21" s="211"/>
      <c r="B21" s="232"/>
      <c r="C21" s="6"/>
      <c r="D21" s="6"/>
    </row>
    <row r="24" spans="1:7" x14ac:dyDescent="0.25">
      <c r="A24" s="88"/>
    </row>
    <row r="25" spans="1:7" x14ac:dyDescent="0.25">
      <c r="A25" s="88"/>
    </row>
    <row r="26" spans="1:7" x14ac:dyDescent="0.25">
      <c r="A26" s="88"/>
    </row>
  </sheetData>
  <mergeCells count="6">
    <mergeCell ref="A19:A20"/>
    <mergeCell ref="C4:D4"/>
    <mergeCell ref="A7:A8"/>
    <mergeCell ref="A11:A12"/>
    <mergeCell ref="F4:G4"/>
    <mergeCell ref="A15: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P85"/>
  <sheetViews>
    <sheetView tabSelected="1" zoomScale="85" zoomScaleNormal="85" workbookViewId="0">
      <selection activeCell="F92" sqref="F92"/>
    </sheetView>
  </sheetViews>
  <sheetFormatPr baseColWidth="10" defaultColWidth="11.28515625" defaultRowHeight="15" x14ac:dyDescent="0.25"/>
  <cols>
    <col min="1" max="1" width="10.140625" customWidth="1"/>
    <col min="2" max="2" width="73" style="106" customWidth="1"/>
    <col min="3" max="4" width="11.28515625" style="106" customWidth="1"/>
    <col min="5" max="5" width="16.28515625" bestFit="1" customWidth="1"/>
    <col min="6" max="6" width="14.85546875" bestFit="1" customWidth="1"/>
    <col min="7" max="8" width="13.7109375" bestFit="1" customWidth="1"/>
    <col min="11" max="11" width="14.28515625" customWidth="1"/>
    <col min="12" max="12" width="30.28515625" customWidth="1"/>
    <col min="13" max="13" width="12.7109375" bestFit="1" customWidth="1"/>
    <col min="14" max="14" width="15.28515625" customWidth="1"/>
  </cols>
  <sheetData>
    <row r="1" spans="1:15" ht="15.75" thickBot="1" x14ac:dyDescent="0.3">
      <c r="B1" s="108" t="s">
        <v>0</v>
      </c>
    </row>
    <row r="2" spans="1:15" ht="16.5" thickBot="1" x14ac:dyDescent="0.35">
      <c r="B2" s="70"/>
      <c r="D2" s="615" t="s">
        <v>47</v>
      </c>
      <c r="E2" s="615"/>
      <c r="F2" s="616"/>
      <c r="G2" s="120">
        <v>1.7000000000000001E-2</v>
      </c>
    </row>
    <row r="3" spans="1:15" ht="15.75" thickBot="1" x14ac:dyDescent="0.3">
      <c r="D3" s="615" t="s">
        <v>308</v>
      </c>
      <c r="E3" s="615"/>
      <c r="F3" s="616" t="s">
        <v>48</v>
      </c>
      <c r="G3" s="120">
        <v>4.9220761724226899E-3</v>
      </c>
      <c r="I3" s="252"/>
    </row>
    <row r="4" spans="1:15" s="119" customFormat="1" ht="15.75" thickBot="1" x14ac:dyDescent="0.3">
      <c r="B4" s="133"/>
      <c r="D4" s="615" t="s">
        <v>298</v>
      </c>
      <c r="E4" s="615"/>
      <c r="F4" s="616"/>
      <c r="G4" s="432">
        <f>E64</f>
        <v>1.092207617242269E-2</v>
      </c>
      <c r="H4" s="252"/>
    </row>
    <row r="5" spans="1:15" ht="15.75" thickBot="1" x14ac:dyDescent="0.3"/>
    <row r="6" spans="1:15" s="119" customFormat="1" ht="15.75" thickBot="1" x14ac:dyDescent="0.3">
      <c r="B6" s="116" t="s">
        <v>49</v>
      </c>
      <c r="C6" s="117">
        <v>2019</v>
      </c>
      <c r="D6" s="117">
        <v>2020</v>
      </c>
      <c r="E6" s="117">
        <v>2021</v>
      </c>
      <c r="F6" s="117">
        <v>2022</v>
      </c>
      <c r="G6" s="117">
        <v>2023</v>
      </c>
      <c r="H6" s="117">
        <v>2024</v>
      </c>
      <c r="I6" s="181">
        <v>2025</v>
      </c>
      <c r="J6" s="117"/>
      <c r="K6" s="118"/>
      <c r="L6" s="1"/>
    </row>
    <row r="7" spans="1:15" ht="15.75" thickBot="1" x14ac:dyDescent="0.3">
      <c r="A7" s="617" t="s">
        <v>6</v>
      </c>
      <c r="B7" s="258" t="s">
        <v>50</v>
      </c>
      <c r="C7" s="259"/>
      <c r="D7" s="498">
        <v>2E-3</v>
      </c>
      <c r="E7" s="113">
        <v>6.0000000000000001E-3</v>
      </c>
      <c r="F7" s="113">
        <v>0.01</v>
      </c>
      <c r="G7" s="113">
        <v>1.2E-2</v>
      </c>
      <c r="H7" s="113">
        <v>1.4999999999999999E-2</v>
      </c>
      <c r="I7" s="182">
        <v>1.5100000000000001E-2</v>
      </c>
      <c r="J7" s="112"/>
      <c r="K7" s="112"/>
      <c r="L7" s="252"/>
    </row>
    <row r="8" spans="1:15" ht="15.75" thickBot="1" x14ac:dyDescent="0.3">
      <c r="A8" s="617"/>
      <c r="B8" s="542" t="s">
        <v>282</v>
      </c>
      <c r="C8" s="114">
        <v>1</v>
      </c>
      <c r="D8" s="423">
        <f>C8*(1+D7)</f>
        <v>1.002</v>
      </c>
      <c r="E8" s="115">
        <f>D8*(1+E7)</f>
        <v>1.0080119999999999</v>
      </c>
      <c r="F8" s="255">
        <f>E8*(1+F7)</f>
        <v>1.0180921199999999</v>
      </c>
      <c r="G8" s="255">
        <f>F8*(1+G7)</f>
        <v>1.0303092254399999</v>
      </c>
      <c r="H8" s="115">
        <f>G8*(1+H7)</f>
        <v>1.0457638638215998</v>
      </c>
      <c r="I8" s="183">
        <f t="shared" ref="I8" si="0">H8*(1+I7)</f>
        <v>1.0615548981653058</v>
      </c>
      <c r="J8" s="114"/>
      <c r="K8" s="114"/>
    </row>
    <row r="9" spans="1:15" ht="15.75" thickBot="1" x14ac:dyDescent="0.3">
      <c r="I9" s="184"/>
    </row>
    <row r="10" spans="1:15" s="119" customFormat="1" ht="41.25" thickBot="1" x14ac:dyDescent="0.3">
      <c r="B10" s="116" t="s">
        <v>51</v>
      </c>
      <c r="C10" s="117">
        <v>2019</v>
      </c>
      <c r="D10" s="117">
        <v>2020</v>
      </c>
      <c r="E10" s="117">
        <v>2021</v>
      </c>
      <c r="F10" s="117">
        <v>2022</v>
      </c>
      <c r="G10" s="117">
        <v>2023</v>
      </c>
      <c r="H10" s="117">
        <v>2024</v>
      </c>
      <c r="I10" s="181">
        <v>2025</v>
      </c>
      <c r="J10" s="117" t="s">
        <v>267</v>
      </c>
      <c r="K10" s="117" t="s">
        <v>299</v>
      </c>
      <c r="L10" s="1"/>
    </row>
    <row r="11" spans="1:15" ht="15.75" customHeight="1" thickBot="1" x14ac:dyDescent="0.3">
      <c r="A11" s="617" t="s">
        <v>52</v>
      </c>
      <c r="B11" s="258" t="s">
        <v>305</v>
      </c>
      <c r="C11" s="260"/>
      <c r="D11" s="260"/>
      <c r="E11" s="425">
        <v>2082.9440472276601</v>
      </c>
      <c r="F11" s="574">
        <v>2116.114037244758</v>
      </c>
      <c r="G11" s="332">
        <v>2130.5816941943731</v>
      </c>
      <c r="H11" s="332">
        <v>2165.4638781726444</v>
      </c>
      <c r="I11" s="185"/>
      <c r="J11" s="110">
        <f>AVERAGE(E11:H11)</f>
        <v>2123.7759142098589</v>
      </c>
      <c r="K11" s="109"/>
      <c r="L11" s="337"/>
      <c r="M11" s="252"/>
    </row>
    <row r="12" spans="1:15" ht="24" customHeight="1" thickBot="1" x14ac:dyDescent="0.3">
      <c r="A12" s="617"/>
      <c r="B12" s="258" t="s">
        <v>53</v>
      </c>
      <c r="C12" s="178"/>
      <c r="D12" s="178"/>
      <c r="E12" s="241">
        <f>SUM(E13:E14)</f>
        <v>1685.2449480579883</v>
      </c>
      <c r="F12" s="241">
        <f>F13+F14</f>
        <v>1749.1428420317548</v>
      </c>
      <c r="G12" s="241">
        <f>G13+G14</f>
        <v>1823.6871737768365</v>
      </c>
      <c r="H12" s="241">
        <f>H13+H14</f>
        <v>1913.1562999108671</v>
      </c>
      <c r="I12" s="185"/>
      <c r="J12" s="110">
        <f t="shared" ref="J12:J24" si="1">AVERAGE(E12:H12)</f>
        <v>1792.8078159443619</v>
      </c>
      <c r="K12" s="111"/>
      <c r="L12" s="336"/>
      <c r="M12" s="179"/>
      <c r="N12" s="252"/>
    </row>
    <row r="13" spans="1:15" ht="22.15" customHeight="1" thickBot="1" x14ac:dyDescent="0.3">
      <c r="A13" s="617"/>
      <c r="B13" s="129" t="s">
        <v>291</v>
      </c>
      <c r="C13" s="111"/>
      <c r="D13" s="111"/>
      <c r="E13" s="333">
        <v>188.74786007392822</v>
      </c>
      <c r="F13" s="333">
        <v>207.03421743397431</v>
      </c>
      <c r="G13" s="333">
        <v>223.04307416972861</v>
      </c>
      <c r="H13" s="333">
        <v>235.11115152362325</v>
      </c>
      <c r="I13" s="333"/>
      <c r="J13" s="111">
        <f t="shared" si="1"/>
        <v>213.48407580031358</v>
      </c>
      <c r="K13" s="111"/>
      <c r="L13" s="336"/>
    </row>
    <row r="14" spans="1:15" ht="23.45" customHeight="1" thickBot="1" x14ac:dyDescent="0.3">
      <c r="A14" s="617"/>
      <c r="B14" s="129" t="s">
        <v>300</v>
      </c>
      <c r="C14" s="111"/>
      <c r="D14" s="111"/>
      <c r="E14" s="333">
        <v>1496.49708798406</v>
      </c>
      <c r="F14" s="333">
        <v>1542.1086245977804</v>
      </c>
      <c r="G14" s="333">
        <v>1600.6440996071078</v>
      </c>
      <c r="H14" s="333">
        <v>1678.0451483872439</v>
      </c>
      <c r="I14" s="333"/>
      <c r="J14" s="111">
        <f t="shared" si="1"/>
        <v>1579.3237401440481</v>
      </c>
      <c r="K14" s="111"/>
      <c r="L14" s="336"/>
    </row>
    <row r="15" spans="1:15" ht="22.15" customHeight="1" thickBot="1" x14ac:dyDescent="0.3">
      <c r="A15" s="617"/>
      <c r="B15" s="258" t="s">
        <v>54</v>
      </c>
      <c r="C15" s="178"/>
      <c r="D15" s="178"/>
      <c r="E15" s="334">
        <v>543.64903432444135</v>
      </c>
      <c r="F15" s="334">
        <v>518.37794887117707</v>
      </c>
      <c r="G15" s="334">
        <v>516.66540672142264</v>
      </c>
      <c r="H15" s="334">
        <v>530.11294853251388</v>
      </c>
      <c r="I15" s="111"/>
      <c r="J15" s="110">
        <f t="shared" si="1"/>
        <v>527.20133461238879</v>
      </c>
      <c r="K15" s="111"/>
      <c r="L15" s="336"/>
    </row>
    <row r="16" spans="1:15" ht="15.75" thickBot="1" x14ac:dyDescent="0.3">
      <c r="A16" s="617"/>
      <c r="B16" s="258" t="s">
        <v>268</v>
      </c>
      <c r="C16" s="178"/>
      <c r="D16" s="178"/>
      <c r="E16" s="334">
        <v>217.58523270474331</v>
      </c>
      <c r="F16" s="604">
        <v>193.83523270474331</v>
      </c>
      <c r="G16" s="334">
        <v>190.83523270474331</v>
      </c>
      <c r="H16" s="334">
        <v>191.83523270474331</v>
      </c>
      <c r="I16" s="111"/>
      <c r="J16" s="110">
        <f t="shared" si="1"/>
        <v>198.52273270474331</v>
      </c>
      <c r="K16" s="111"/>
      <c r="L16" s="192"/>
      <c r="M16" s="193"/>
      <c r="N16" s="193"/>
      <c r="O16" s="193"/>
    </row>
    <row r="17" spans="1:14" ht="15.75" thickBot="1" x14ac:dyDescent="0.3">
      <c r="A17" s="617"/>
      <c r="B17" s="258" t="s">
        <v>301</v>
      </c>
      <c r="C17" s="178"/>
      <c r="D17" s="178"/>
      <c r="E17" s="334">
        <v>22.389565196695997</v>
      </c>
      <c r="F17" s="334">
        <v>29.373208023804601</v>
      </c>
      <c r="G17" s="334">
        <v>37.095351377572499</v>
      </c>
      <c r="H17" s="334">
        <v>41.7064031870216</v>
      </c>
      <c r="I17" s="111"/>
      <c r="J17" s="110">
        <f t="shared" si="1"/>
        <v>32.641131946273674</v>
      </c>
      <c r="K17" s="111"/>
      <c r="L17" s="336"/>
    </row>
    <row r="18" spans="1:14" ht="15.75" thickBot="1" x14ac:dyDescent="0.3">
      <c r="A18" s="617"/>
      <c r="B18" s="258" t="s">
        <v>55</v>
      </c>
      <c r="C18" s="260"/>
      <c r="D18" s="260"/>
      <c r="E18" s="241">
        <v>73.841666666666697</v>
      </c>
      <c r="F18" s="241">
        <v>73.841666666666697</v>
      </c>
      <c r="G18" s="241">
        <v>73.841666666666697</v>
      </c>
      <c r="H18" s="241">
        <v>73.841666666666697</v>
      </c>
      <c r="I18" s="185"/>
      <c r="J18" s="110">
        <f>AVERAGE(E18:H18)</f>
        <v>73.841666666666697</v>
      </c>
      <c r="K18" s="109"/>
      <c r="L18" s="422"/>
    </row>
    <row r="19" spans="1:14" ht="27.75" thickBot="1" x14ac:dyDescent="0.3">
      <c r="A19" s="617"/>
      <c r="B19" s="258" t="s">
        <v>303</v>
      </c>
      <c r="C19" s="260"/>
      <c r="D19" s="260"/>
      <c r="E19" s="241">
        <v>29.779802933333333</v>
      </c>
      <c r="F19" s="241">
        <v>29.838267629333298</v>
      </c>
      <c r="G19" s="241">
        <v>29.909126840885332</v>
      </c>
      <c r="H19" s="241">
        <v>29.998763743498614</v>
      </c>
      <c r="I19" s="185"/>
      <c r="J19" s="110">
        <f t="shared" si="1"/>
        <v>29.881490286762645</v>
      </c>
      <c r="K19" s="109"/>
      <c r="M19" s="337"/>
    </row>
    <row r="20" spans="1:14" ht="27.75" thickBot="1" x14ac:dyDescent="0.3">
      <c r="A20" s="617"/>
      <c r="B20" s="258" t="s">
        <v>56</v>
      </c>
      <c r="C20" s="260"/>
      <c r="D20" s="260"/>
      <c r="E20" s="241">
        <v>0</v>
      </c>
      <c r="F20" s="241">
        <v>0</v>
      </c>
      <c r="G20" s="241">
        <v>0</v>
      </c>
      <c r="H20" s="241">
        <v>0</v>
      </c>
      <c r="I20" s="185"/>
      <c r="J20" s="110">
        <f t="shared" si="1"/>
        <v>0</v>
      </c>
      <c r="K20" s="109"/>
      <c r="L20" s="179"/>
      <c r="M20" s="337"/>
    </row>
    <row r="21" spans="1:14" ht="41.25" thickBot="1" x14ac:dyDescent="0.3">
      <c r="A21" s="617"/>
      <c r="B21" s="258" t="s">
        <v>61</v>
      </c>
      <c r="C21" s="260"/>
      <c r="D21" s="260"/>
      <c r="E21" s="241">
        <v>0</v>
      </c>
      <c r="F21" s="241">
        <v>0</v>
      </c>
      <c r="G21" s="241">
        <v>0</v>
      </c>
      <c r="H21" s="241">
        <v>0</v>
      </c>
      <c r="I21" s="185"/>
      <c r="J21" s="110">
        <f t="shared" si="1"/>
        <v>0</v>
      </c>
      <c r="K21" s="109"/>
      <c r="L21" s="179"/>
      <c r="M21" s="337"/>
    </row>
    <row r="22" spans="1:14" ht="27.75" thickBot="1" x14ac:dyDescent="0.3">
      <c r="A22" s="617"/>
      <c r="B22" s="258" t="s">
        <v>247</v>
      </c>
      <c r="C22" s="260"/>
      <c r="D22" s="260"/>
      <c r="E22" s="241">
        <v>0</v>
      </c>
      <c r="F22" s="241">
        <v>0</v>
      </c>
      <c r="G22" s="241">
        <v>0</v>
      </c>
      <c r="H22" s="241">
        <v>0</v>
      </c>
      <c r="I22" s="185"/>
      <c r="J22" s="110">
        <f t="shared" si="1"/>
        <v>0</v>
      </c>
      <c r="K22" s="109"/>
      <c r="M22" s="337"/>
    </row>
    <row r="23" spans="1:14" ht="15.75" thickBot="1" x14ac:dyDescent="0.3">
      <c r="A23" s="617"/>
      <c r="B23" s="258" t="s">
        <v>269</v>
      </c>
      <c r="C23" s="260"/>
      <c r="D23" s="260"/>
      <c r="E23" s="241">
        <v>0</v>
      </c>
      <c r="F23" s="241">
        <v>0</v>
      </c>
      <c r="G23" s="241">
        <v>0</v>
      </c>
      <c r="H23" s="241">
        <v>0</v>
      </c>
      <c r="I23" s="185"/>
      <c r="J23" s="110">
        <f t="shared" si="1"/>
        <v>0</v>
      </c>
      <c r="K23" s="109"/>
      <c r="M23" s="337"/>
    </row>
    <row r="24" spans="1:14" ht="27.75" thickBot="1" x14ac:dyDescent="0.3">
      <c r="A24" s="617"/>
      <c r="B24" s="258" t="s">
        <v>57</v>
      </c>
      <c r="C24" s="260"/>
      <c r="D24" s="260"/>
      <c r="E24" s="241">
        <v>0</v>
      </c>
      <c r="F24" s="241">
        <v>0</v>
      </c>
      <c r="G24" s="241">
        <v>0</v>
      </c>
      <c r="H24" s="241">
        <v>0</v>
      </c>
      <c r="I24" s="185"/>
      <c r="J24" s="110">
        <f t="shared" si="1"/>
        <v>0</v>
      </c>
      <c r="K24" s="109"/>
      <c r="M24" s="337"/>
    </row>
    <row r="25" spans="1:14" ht="15.75" thickBot="1" x14ac:dyDescent="0.3">
      <c r="A25" s="125"/>
      <c r="B25" s="261" t="s">
        <v>58</v>
      </c>
      <c r="C25" s="262"/>
      <c r="D25" s="262"/>
      <c r="E25" s="248">
        <f>E11+E12+SUM(E15:E24)</f>
        <v>4655.4342971115293</v>
      </c>
      <c r="F25" s="248">
        <f>F11+F12+SUM(F15:F24)</f>
        <v>4710.523203172238</v>
      </c>
      <c r="G25" s="248">
        <f>G11+G12+SUM(G15:G24)</f>
        <v>4802.6156522825004</v>
      </c>
      <c r="H25" s="248">
        <f>H11+H12+SUM(H15:H24)</f>
        <v>4946.1151929179559</v>
      </c>
      <c r="I25" s="186"/>
      <c r="J25" s="128">
        <f>AVERAGE(E25:H25)</f>
        <v>4778.6720863710561</v>
      </c>
      <c r="K25" s="127"/>
    </row>
    <row r="26" spans="1:14" ht="27.75" thickBot="1" x14ac:dyDescent="0.3">
      <c r="A26" s="617" t="s">
        <v>59</v>
      </c>
      <c r="B26" s="258" t="s">
        <v>273</v>
      </c>
      <c r="C26" s="260"/>
      <c r="D26" s="260"/>
      <c r="E26" s="334">
        <v>-418.80000000000007</v>
      </c>
      <c r="F26" s="334">
        <v>-360.2</v>
      </c>
      <c r="G26" s="334">
        <v>-343.4</v>
      </c>
      <c r="H26" s="334">
        <v>-341.50000000000006</v>
      </c>
      <c r="I26" s="335">
        <v>-289.22500000000002</v>
      </c>
      <c r="J26" s="110">
        <f t="shared" ref="J26:J31" si="2">AVERAGE(E26:H26)</f>
        <v>-365.97500000000002</v>
      </c>
      <c r="K26" s="109"/>
      <c r="M26" s="252"/>
      <c r="N26" s="337"/>
    </row>
    <row r="27" spans="1:14" ht="15.75" thickBot="1" x14ac:dyDescent="0.3">
      <c r="A27" s="617"/>
      <c r="B27" s="258" t="s">
        <v>249</v>
      </c>
      <c r="C27" s="260"/>
      <c r="D27" s="260"/>
      <c r="E27" s="241">
        <v>-0.20200000000000001</v>
      </c>
      <c r="F27" s="241">
        <v>-0.20200000000000001</v>
      </c>
      <c r="G27" s="241">
        <v>-0.20200000000000001</v>
      </c>
      <c r="H27" s="241">
        <v>-0.20200000000000001</v>
      </c>
      <c r="I27" s="185"/>
      <c r="J27" s="110">
        <f t="shared" si="2"/>
        <v>-0.20200000000000001</v>
      </c>
      <c r="K27" s="109"/>
      <c r="L27" s="422"/>
    </row>
    <row r="28" spans="1:14" ht="27.75" thickBot="1" x14ac:dyDescent="0.3">
      <c r="A28" s="617"/>
      <c r="B28" s="258" t="s">
        <v>250</v>
      </c>
      <c r="C28" s="260"/>
      <c r="D28" s="260"/>
      <c r="E28" s="241">
        <v>-14.266666666666699</v>
      </c>
      <c r="F28" s="241">
        <v>-14.266666666666666</v>
      </c>
      <c r="G28" s="241">
        <v>-14.266666666666666</v>
      </c>
      <c r="H28" s="241">
        <v>-14.266666666666666</v>
      </c>
      <c r="I28" s="185"/>
      <c r="J28" s="110">
        <f t="shared" si="2"/>
        <v>-14.266666666666675</v>
      </c>
      <c r="K28" s="109"/>
      <c r="M28" s="337"/>
    </row>
    <row r="29" spans="1:14" ht="15.75" thickBot="1" x14ac:dyDescent="0.3">
      <c r="A29" s="617"/>
      <c r="B29" s="258" t="s">
        <v>251</v>
      </c>
      <c r="C29" s="260"/>
      <c r="D29" s="260"/>
      <c r="E29" s="241">
        <v>-11.233333333333334</v>
      </c>
      <c r="F29" s="241">
        <v>-11.233333333333334</v>
      </c>
      <c r="G29" s="241">
        <v>-11.233333333333334</v>
      </c>
      <c r="H29" s="241">
        <v>-11.233333333333334</v>
      </c>
      <c r="I29" s="185"/>
      <c r="J29" s="110">
        <f t="shared" si="2"/>
        <v>-11.233333333333334</v>
      </c>
      <c r="K29" s="109"/>
      <c r="M29" s="337"/>
    </row>
    <row r="30" spans="1:14" ht="27.75" thickBot="1" x14ac:dyDescent="0.3">
      <c r="A30" s="323"/>
      <c r="B30" s="258" t="s">
        <v>252</v>
      </c>
      <c r="C30" s="260"/>
      <c r="D30" s="260"/>
      <c r="E30" s="241">
        <v>0</v>
      </c>
      <c r="F30" s="241">
        <v>0</v>
      </c>
      <c r="G30" s="241">
        <v>0</v>
      </c>
      <c r="H30" s="241">
        <v>0</v>
      </c>
      <c r="I30" s="185"/>
      <c r="J30" s="110">
        <f t="shared" si="2"/>
        <v>0</v>
      </c>
      <c r="K30" s="109"/>
      <c r="M30" s="337"/>
    </row>
    <row r="31" spans="1:14" ht="27.75" customHeight="1" thickBot="1" x14ac:dyDescent="0.3">
      <c r="A31" s="323"/>
      <c r="B31" s="258" t="s">
        <v>253</v>
      </c>
      <c r="C31" s="260"/>
      <c r="D31" s="260"/>
      <c r="E31" s="241">
        <v>0</v>
      </c>
      <c r="F31" s="241">
        <v>0</v>
      </c>
      <c r="G31" s="241">
        <v>0</v>
      </c>
      <c r="H31" s="241">
        <v>0</v>
      </c>
      <c r="I31" s="185"/>
      <c r="J31" s="110">
        <f t="shared" si="2"/>
        <v>0</v>
      </c>
      <c r="K31" s="109"/>
      <c r="M31" s="337"/>
    </row>
    <row r="32" spans="1:14" ht="15.75" thickBot="1" x14ac:dyDescent="0.3">
      <c r="A32" s="125"/>
      <c r="B32" s="261" t="s">
        <v>62</v>
      </c>
      <c r="C32" s="262"/>
      <c r="D32" s="262"/>
      <c r="E32" s="248">
        <f>SUM(E26:E31)</f>
        <v>-444.50200000000012</v>
      </c>
      <c r="F32" s="248">
        <f>SUM(F26:F31)</f>
        <v>-385.90199999999999</v>
      </c>
      <c r="G32" s="248">
        <f>SUM(G26:G31)</f>
        <v>-369.10199999999998</v>
      </c>
      <c r="H32" s="248">
        <f>SUM(H26:H31)</f>
        <v>-367.20200000000006</v>
      </c>
      <c r="I32" s="186"/>
      <c r="J32" s="128">
        <f>AVERAGE(E32:H32)</f>
        <v>-391.67700000000002</v>
      </c>
      <c r="K32" s="127"/>
      <c r="L32" s="252"/>
    </row>
    <row r="33" spans="1:16" ht="15.75" thickBot="1" x14ac:dyDescent="0.3">
      <c r="A33" s="322"/>
      <c r="B33" s="258" t="s">
        <v>266</v>
      </c>
      <c r="C33" s="260"/>
      <c r="D33" s="260"/>
      <c r="E33" s="109">
        <v>0</v>
      </c>
      <c r="F33" s="109">
        <v>0</v>
      </c>
      <c r="G33" s="109">
        <v>0</v>
      </c>
      <c r="H33" s="109">
        <v>0</v>
      </c>
      <c r="I33" s="185"/>
      <c r="J33" s="110">
        <f>AVERAGE(E33:H33)</f>
        <v>0</v>
      </c>
      <c r="K33" s="109"/>
    </row>
    <row r="34" spans="1:16" ht="27.75" thickBot="1" x14ac:dyDescent="0.3">
      <c r="A34" s="322"/>
      <c r="B34" s="258" t="s">
        <v>65</v>
      </c>
      <c r="C34" s="260"/>
      <c r="D34" s="260"/>
      <c r="E34" s="109">
        <v>0</v>
      </c>
      <c r="F34" s="109">
        <v>0</v>
      </c>
      <c r="G34" s="109">
        <v>0</v>
      </c>
      <c r="H34" s="109">
        <v>0</v>
      </c>
      <c r="I34" s="185"/>
      <c r="J34" s="110">
        <f>AVERAGE(E34:H34)</f>
        <v>0</v>
      </c>
      <c r="K34" s="109"/>
    </row>
    <row r="35" spans="1:16" ht="15" customHeight="1" thickBot="1" x14ac:dyDescent="0.3">
      <c r="A35" s="623" t="s">
        <v>63</v>
      </c>
      <c r="B35" s="258" t="s">
        <v>275</v>
      </c>
      <c r="C35" s="260"/>
      <c r="D35" s="260"/>
      <c r="E35" s="109">
        <v>0</v>
      </c>
      <c r="F35" s="109">
        <v>0</v>
      </c>
      <c r="G35" s="109">
        <v>0</v>
      </c>
      <c r="H35" s="109">
        <v>0</v>
      </c>
      <c r="I35" s="185"/>
      <c r="J35" s="110">
        <f t="shared" ref="J35:J39" si="3">AVERAGE(E35:H35)</f>
        <v>0</v>
      </c>
      <c r="K35" s="109"/>
    </row>
    <row r="36" spans="1:16" ht="15.75" thickBot="1" x14ac:dyDescent="0.3">
      <c r="A36" s="623"/>
      <c r="B36" s="258" t="s">
        <v>64</v>
      </c>
      <c r="C36" s="260"/>
      <c r="D36" s="260"/>
      <c r="E36" s="109">
        <v>0</v>
      </c>
      <c r="F36" s="109">
        <v>0</v>
      </c>
      <c r="G36" s="109">
        <v>0</v>
      </c>
      <c r="H36" s="109">
        <v>0</v>
      </c>
      <c r="I36" s="185"/>
      <c r="J36" s="110">
        <f t="shared" si="3"/>
        <v>0</v>
      </c>
      <c r="K36" s="109"/>
    </row>
    <row r="37" spans="1:16" ht="21.95" customHeight="1" thickBot="1" x14ac:dyDescent="0.3">
      <c r="A37" s="623"/>
      <c r="B37" s="258" t="s">
        <v>66</v>
      </c>
      <c r="C37" s="260"/>
      <c r="D37" s="260"/>
      <c r="E37" s="109">
        <v>0</v>
      </c>
      <c r="F37" s="109">
        <v>0</v>
      </c>
      <c r="G37" s="109">
        <v>0</v>
      </c>
      <c r="H37" s="109">
        <v>0</v>
      </c>
      <c r="I37" s="185"/>
      <c r="J37" s="110">
        <f t="shared" si="3"/>
        <v>0</v>
      </c>
      <c r="K37" s="109"/>
      <c r="N37" s="330"/>
    </row>
    <row r="38" spans="1:16" ht="21.95" customHeight="1" thickBot="1" x14ac:dyDescent="0.3">
      <c r="A38" s="623"/>
      <c r="B38" s="258" t="s">
        <v>276</v>
      </c>
      <c r="C38" s="260"/>
      <c r="D38" s="260"/>
      <c r="E38" s="109">
        <v>0</v>
      </c>
      <c r="F38" s="109">
        <v>0</v>
      </c>
      <c r="G38" s="109">
        <v>0</v>
      </c>
      <c r="H38" s="109">
        <v>0</v>
      </c>
      <c r="I38" s="185"/>
      <c r="J38" s="110">
        <f t="shared" si="3"/>
        <v>0</v>
      </c>
      <c r="K38" s="109"/>
      <c r="N38" s="330"/>
    </row>
    <row r="39" spans="1:16" ht="21.95" customHeight="1" thickBot="1" x14ac:dyDescent="0.3">
      <c r="A39" s="322"/>
      <c r="B39" s="258" t="s">
        <v>277</v>
      </c>
      <c r="C39" s="260"/>
      <c r="D39" s="260"/>
      <c r="E39" s="109">
        <v>0</v>
      </c>
      <c r="F39" s="109">
        <v>0</v>
      </c>
      <c r="G39" s="109">
        <v>0</v>
      </c>
      <c r="H39" s="109">
        <v>0</v>
      </c>
      <c r="I39" s="185"/>
      <c r="J39" s="110">
        <f t="shared" si="3"/>
        <v>0</v>
      </c>
      <c r="K39" s="109"/>
      <c r="N39" s="330"/>
    </row>
    <row r="40" spans="1:16" ht="21.95" customHeight="1" thickBot="1" x14ac:dyDescent="0.3">
      <c r="A40" s="125"/>
      <c r="B40" s="261" t="s">
        <v>67</v>
      </c>
      <c r="C40" s="262"/>
      <c r="D40" s="262"/>
      <c r="E40" s="248">
        <f>SUM(E36:E37)</f>
        <v>0</v>
      </c>
      <c r="F40" s="248">
        <f>SUM(F36:F37)</f>
        <v>0</v>
      </c>
      <c r="G40" s="248">
        <f>SUM(G36:G37)</f>
        <v>0</v>
      </c>
      <c r="H40" s="248">
        <f>SUM(H36:H37)</f>
        <v>0</v>
      </c>
      <c r="I40" s="186"/>
      <c r="J40" s="128">
        <f>AVERAGE(E40:H40)</f>
        <v>0</v>
      </c>
      <c r="K40" s="127"/>
    </row>
    <row r="41" spans="1:16" ht="21.95" customHeight="1" thickBot="1" x14ac:dyDescent="0.3">
      <c r="A41" s="126" t="s">
        <v>68</v>
      </c>
      <c r="B41" s="258" t="s">
        <v>279</v>
      </c>
      <c r="C41" s="260"/>
      <c r="D41" s="260"/>
      <c r="E41" s="241">
        <v>1.4993338593489904</v>
      </c>
      <c r="F41" s="241">
        <v>1.4993338593489904</v>
      </c>
      <c r="G41" s="241">
        <v>1.4993338593489904</v>
      </c>
      <c r="H41" s="241">
        <v>1.4993338593489904</v>
      </c>
      <c r="I41" s="185"/>
      <c r="J41" s="110">
        <f t="shared" ref="J41:J44" si="4">AVERAGE(E41:H41)</f>
        <v>1.4993338593489904</v>
      </c>
      <c r="K41" s="109">
        <f>NPV(G2,E41:H41)</f>
        <v>5.7508638511292691</v>
      </c>
      <c r="M41" s="332"/>
      <c r="N41" s="332"/>
      <c r="O41" s="332"/>
      <c r="P41" s="332"/>
    </row>
    <row r="42" spans="1:16" ht="15.75" thickBot="1" x14ac:dyDescent="0.3">
      <c r="A42" s="125"/>
      <c r="B42" s="261" t="s">
        <v>280</v>
      </c>
      <c r="C42" s="262"/>
      <c r="D42" s="262"/>
      <c r="E42" s="248">
        <f>E41</f>
        <v>1.4993338593489904</v>
      </c>
      <c r="F42" s="248">
        <f t="shared" ref="F42:H42" si="5">F41</f>
        <v>1.4993338593489904</v>
      </c>
      <c r="G42" s="248">
        <f t="shared" si="5"/>
        <v>1.4993338593489904</v>
      </c>
      <c r="H42" s="248">
        <f t="shared" si="5"/>
        <v>1.4993338593489904</v>
      </c>
      <c r="I42" s="186"/>
      <c r="J42" s="128">
        <f>AVERAGE(E42:H42)</f>
        <v>1.4993338593489904</v>
      </c>
      <c r="K42" s="127"/>
    </row>
    <row r="43" spans="1:16" ht="15.75" thickBot="1" x14ac:dyDescent="0.3">
      <c r="B43"/>
      <c r="C43"/>
      <c r="D43"/>
      <c r="M43" s="332"/>
      <c r="N43" s="332"/>
      <c r="O43" s="332"/>
      <c r="P43" s="332"/>
    </row>
    <row r="44" spans="1:16" ht="15.75" thickBot="1" x14ac:dyDescent="0.3">
      <c r="A44" s="612" t="s">
        <v>302</v>
      </c>
      <c r="B44" s="258" t="s">
        <v>69</v>
      </c>
      <c r="C44" s="260"/>
      <c r="D44" s="260"/>
      <c r="E44" s="241">
        <v>0</v>
      </c>
      <c r="F44" s="241">
        <v>0</v>
      </c>
      <c r="G44" s="241">
        <v>0</v>
      </c>
      <c r="H44" s="241">
        <v>0</v>
      </c>
      <c r="I44" s="185"/>
      <c r="J44" s="110">
        <f t="shared" si="4"/>
        <v>0</v>
      </c>
      <c r="K44" s="109"/>
      <c r="L44" s="179"/>
    </row>
    <row r="45" spans="1:16" ht="15.75" thickBot="1" x14ac:dyDescent="0.3">
      <c r="A45" s="612"/>
      <c r="B45" s="258" t="s">
        <v>278</v>
      </c>
      <c r="C45" s="260"/>
      <c r="D45" s="260"/>
      <c r="E45" s="241">
        <v>0</v>
      </c>
      <c r="F45" s="241">
        <v>0</v>
      </c>
      <c r="G45" s="241">
        <v>0</v>
      </c>
      <c r="H45" s="241">
        <v>0</v>
      </c>
      <c r="I45" s="185"/>
      <c r="J45" s="110">
        <f>AVERAGE(E45:H45)</f>
        <v>0</v>
      </c>
      <c r="K45" s="109"/>
      <c r="L45" s="179"/>
      <c r="M45" s="345"/>
      <c r="N45" s="345"/>
      <c r="O45" s="345"/>
      <c r="P45" s="345"/>
    </row>
    <row r="46" spans="1:16" ht="30.75" customHeight="1" thickBot="1" x14ac:dyDescent="0.3">
      <c r="A46" s="612"/>
      <c r="B46" s="258" t="s">
        <v>320</v>
      </c>
      <c r="C46" s="260"/>
      <c r="D46" s="260"/>
      <c r="E46" s="241">
        <v>0</v>
      </c>
      <c r="F46" s="241">
        <v>0</v>
      </c>
      <c r="G46" s="241">
        <v>0</v>
      </c>
      <c r="H46" s="241">
        <v>0</v>
      </c>
      <c r="I46" s="185"/>
      <c r="J46" s="110">
        <f>AVERAGE(E46:H46)</f>
        <v>0</v>
      </c>
      <c r="K46" s="109"/>
      <c r="L46" s="179"/>
      <c r="M46" s="345"/>
      <c r="N46" s="345"/>
      <c r="O46" s="345"/>
      <c r="P46" s="345"/>
    </row>
    <row r="47" spans="1:16" ht="15.75" thickBot="1" x14ac:dyDescent="0.3">
      <c r="A47" s="106"/>
      <c r="I47" s="184"/>
    </row>
    <row r="48" spans="1:16" ht="15.75" thickBot="1" x14ac:dyDescent="0.3">
      <c r="A48" s="125"/>
      <c r="B48" s="121" t="s">
        <v>70</v>
      </c>
      <c r="C48" s="122"/>
      <c r="D48" s="122"/>
      <c r="E48" s="430">
        <f>E25+E32+E40+E42</f>
        <v>4212.4316309708774</v>
      </c>
      <c r="F48" s="123">
        <f>F25+F32+F40+F42</f>
        <v>4326.1205370315865</v>
      </c>
      <c r="G48" s="123">
        <f>G25+G32+G40+G42</f>
        <v>4435.0129861418491</v>
      </c>
      <c r="H48" s="123">
        <f>H25+H32+H40+H42</f>
        <v>4580.4125267773043</v>
      </c>
      <c r="I48" s="187"/>
      <c r="J48" s="124">
        <f>AVERAGE(E48:H48)</f>
        <v>4388.494420230405</v>
      </c>
      <c r="K48" s="124">
        <f>NPV($G$2,E48:H48)</f>
        <v>16822.767276522591</v>
      </c>
      <c r="L48" s="252"/>
      <c r="M48" s="345"/>
      <c r="N48" s="345"/>
      <c r="O48" s="345"/>
      <c r="P48" s="345"/>
    </row>
    <row r="49" spans="1:16" ht="15.75" thickBot="1" x14ac:dyDescent="0.3">
      <c r="I49" s="184"/>
    </row>
    <row r="50" spans="1:16" ht="41.25" thickBot="1" x14ac:dyDescent="0.3">
      <c r="A50" s="125"/>
      <c r="B50" s="116" t="s">
        <v>71</v>
      </c>
      <c r="C50" s="117">
        <v>2019</v>
      </c>
      <c r="D50" s="117">
        <v>2020</v>
      </c>
      <c r="E50" s="117">
        <v>2021</v>
      </c>
      <c r="F50" s="117">
        <v>2022</v>
      </c>
      <c r="G50" s="117">
        <v>2023</v>
      </c>
      <c r="H50" s="117">
        <v>2024</v>
      </c>
      <c r="I50" s="181">
        <v>2025</v>
      </c>
      <c r="J50" s="117" t="s">
        <v>267</v>
      </c>
      <c r="K50" s="117" t="s">
        <v>299</v>
      </c>
      <c r="M50" s="346"/>
      <c r="N50" s="346"/>
      <c r="O50" s="346"/>
      <c r="P50" s="346"/>
    </row>
    <row r="51" spans="1:16" ht="27.75" thickBot="1" x14ac:dyDescent="0.3">
      <c r="B51" s="261" t="s">
        <v>293</v>
      </c>
      <c r="C51" s="262"/>
      <c r="D51" s="262"/>
      <c r="E51" s="128">
        <v>4338.460820074094</v>
      </c>
      <c r="F51" s="128">
        <v>4336.675984329413</v>
      </c>
      <c r="G51" s="128">
        <v>4342.1154394147261</v>
      </c>
      <c r="H51" s="128">
        <v>4351.4952657459744</v>
      </c>
      <c r="I51" s="128">
        <f>I52+I53</f>
        <v>4395.3493035702249</v>
      </c>
      <c r="J51" s="128">
        <f t="shared" ref="J51" si="6">AVERAGE(E51:H51)</f>
        <v>4342.1868773910519</v>
      </c>
      <c r="K51" s="127"/>
    </row>
    <row r="52" spans="1:16" ht="15.75" thickBot="1" x14ac:dyDescent="0.3">
      <c r="B52" s="130" t="s">
        <v>72</v>
      </c>
      <c r="C52" s="260"/>
      <c r="D52" s="260"/>
      <c r="E52" s="429">
        <v>2530.7688117098883</v>
      </c>
      <c r="F52" s="429">
        <v>2529.7276575254909</v>
      </c>
      <c r="G52" s="429">
        <v>2532.9006729919238</v>
      </c>
      <c r="H52" s="429">
        <v>2538.3722383518184</v>
      </c>
      <c r="I52" s="111">
        <f>H52*(1+$I$56)</f>
        <v>2563.9537604159646</v>
      </c>
      <c r="J52" s="132">
        <f>AVERAGE(E52:H52)</f>
        <v>2532.9423451447801</v>
      </c>
      <c r="K52" s="109"/>
    </row>
    <row r="53" spans="1:16" ht="15.75" thickBot="1" x14ac:dyDescent="0.3">
      <c r="B53" s="130" t="s">
        <v>73</v>
      </c>
      <c r="C53" s="260"/>
      <c r="D53" s="260"/>
      <c r="E53" s="339">
        <v>1807.692008364206</v>
      </c>
      <c r="F53" s="339">
        <v>1806.9483268039221</v>
      </c>
      <c r="G53" s="339">
        <v>1809.2147664228025</v>
      </c>
      <c r="H53" s="339">
        <v>1813.123027394156</v>
      </c>
      <c r="I53" s="111">
        <f>H53*(1+$I$56)</f>
        <v>1831.3955431542604</v>
      </c>
      <c r="J53" s="132">
        <f>AVERAGE(E53:H53)</f>
        <v>1809.2445322462718</v>
      </c>
      <c r="K53" s="110"/>
    </row>
    <row r="54" spans="1:16" ht="27.75" thickBot="1" x14ac:dyDescent="0.3">
      <c r="B54" s="258" t="s">
        <v>294</v>
      </c>
      <c r="C54" s="260"/>
      <c r="D54" s="260"/>
      <c r="E54" s="449">
        <f>E51+E55</f>
        <v>4173.1654628292708</v>
      </c>
      <c r="F54" s="449">
        <f t="shared" ref="F54:I54" si="7">F51+F55</f>
        <v>4169.7139589327307</v>
      </c>
      <c r="G54" s="449">
        <f t="shared" si="7"/>
        <v>4172.772937277552</v>
      </c>
      <c r="H54" s="449">
        <f t="shared" si="7"/>
        <v>4179.1760532224334</v>
      </c>
      <c r="I54" s="185">
        <f t="shared" si="7"/>
        <v>4224.8275581993203</v>
      </c>
      <c r="J54" s="110">
        <f t="shared" ref="J54" si="8">AVERAGE(E54:H54)</f>
        <v>4173.707103065497</v>
      </c>
      <c r="K54" s="109"/>
    </row>
    <row r="55" spans="1:16" ht="15.75" thickBot="1" x14ac:dyDescent="0.3">
      <c r="B55" s="130" t="s">
        <v>74</v>
      </c>
      <c r="C55" s="260"/>
      <c r="D55" s="260"/>
      <c r="E55" s="427">
        <f>E85*E51</f>
        <v>-165.29535724482298</v>
      </c>
      <c r="F55" s="111">
        <f>F85*F51</f>
        <v>-166.96202539668241</v>
      </c>
      <c r="G55" s="111">
        <f>G85*G51</f>
        <v>-169.34250213717431</v>
      </c>
      <c r="H55" s="111">
        <f>H85*H51</f>
        <v>-172.31921252354061</v>
      </c>
      <c r="I55" s="111">
        <f>I85*I51</f>
        <v>-170.52174537090474</v>
      </c>
      <c r="J55" s="132"/>
      <c r="K55" s="110"/>
    </row>
    <row r="56" spans="1:16" ht="15.75" thickBot="1" x14ac:dyDescent="0.3">
      <c r="B56" s="448" t="s">
        <v>310</v>
      </c>
      <c r="C56" s="134"/>
      <c r="D56" s="134"/>
      <c r="E56" s="135"/>
      <c r="F56" s="136">
        <f>F7+$G$3</f>
        <v>1.492207617242269E-2</v>
      </c>
      <c r="G56" s="136">
        <f>G7+$G$3</f>
        <v>1.6922076172422688E-2</v>
      </c>
      <c r="H56" s="136">
        <f>H7+$G$3</f>
        <v>1.9922076172422691E-2</v>
      </c>
      <c r="I56" s="188">
        <f>H7-$G$3</f>
        <v>1.007792382757731E-2</v>
      </c>
      <c r="J56" s="135"/>
      <c r="K56" s="109"/>
      <c r="L56" s="252"/>
    </row>
    <row r="57" spans="1:16" ht="15.75" thickBot="1" x14ac:dyDescent="0.3">
      <c r="B57" s="448" t="s">
        <v>309</v>
      </c>
      <c r="C57" s="134"/>
      <c r="D57" s="134">
        <v>1</v>
      </c>
      <c r="E57" s="135">
        <v>1</v>
      </c>
      <c r="F57" s="137">
        <f>E57*(1+F56)</f>
        <v>1.0149220761724227</v>
      </c>
      <c r="G57" s="137">
        <f>F57*(1+G56)</f>
        <v>1.0320966648544858</v>
      </c>
      <c r="H57" s="137">
        <f>G57*(1+H56)</f>
        <v>1.0526581732290201</v>
      </c>
      <c r="I57" s="189">
        <f>H57*(1+I56)</f>
        <v>1.0632667821152988</v>
      </c>
      <c r="J57" s="135"/>
      <c r="K57" s="109"/>
      <c r="L57" s="252"/>
    </row>
    <row r="58" spans="1:16" ht="27.75" thickBot="1" x14ac:dyDescent="0.3">
      <c r="B58" s="261" t="s">
        <v>295</v>
      </c>
      <c r="C58" s="262"/>
      <c r="D58" s="262"/>
      <c r="E58" s="127">
        <f>(7/12*D57+5/12*E57)*E54</f>
        <v>4173.1654628292708</v>
      </c>
      <c r="F58" s="127">
        <f t="shared" ref="F58:H58" si="9">(7/12*E57+5/12*F57)*F54</f>
        <v>4195.6392878129018</v>
      </c>
      <c r="G58" s="127">
        <f>(7/12*F57+5/12*G57)*G54</f>
        <v>4264.9000640900758</v>
      </c>
      <c r="H58" s="127">
        <f t="shared" si="9"/>
        <v>4349.1179011276845</v>
      </c>
      <c r="I58" s="186">
        <f>I62+I63</f>
        <v>4465.9740692787636</v>
      </c>
      <c r="J58" s="128">
        <f t="shared" ref="J58:J61" si="10">AVERAGE(E58:H58)</f>
        <v>4245.7056789649832</v>
      </c>
      <c r="K58" s="127"/>
    </row>
    <row r="59" spans="1:16" ht="15.75" thickBot="1" x14ac:dyDescent="0.3">
      <c r="B59" s="261" t="s">
        <v>297</v>
      </c>
      <c r="C59" s="262"/>
      <c r="D59" s="262"/>
      <c r="E59" s="127">
        <f>E58+E60</f>
        <v>4275.4405568292705</v>
      </c>
      <c r="F59" s="127">
        <f t="shared" ref="F59:I59" si="11">F58+F60</f>
        <v>4297.3003598129017</v>
      </c>
      <c r="G59" s="127">
        <f t="shared" si="11"/>
        <v>4366.7055110900756</v>
      </c>
      <c r="H59" s="127">
        <f t="shared" si="11"/>
        <v>4451.1585771276841</v>
      </c>
      <c r="I59" s="186">
        <f t="shared" si="11"/>
        <v>4562.574069278764</v>
      </c>
      <c r="J59" s="128">
        <f t="shared" si="10"/>
        <v>4347.6512512149829</v>
      </c>
      <c r="K59" s="127">
        <f>NPV($G$2,E59:H59)</f>
        <v>16671.093373187403</v>
      </c>
    </row>
    <row r="60" spans="1:16" ht="15.75" thickBot="1" x14ac:dyDescent="0.3">
      <c r="B60" s="130" t="s">
        <v>75</v>
      </c>
      <c r="C60" s="260"/>
      <c r="D60" s="260"/>
      <c r="E60" s="339">
        <v>102.275094</v>
      </c>
      <c r="F60" s="339">
        <v>101.661072</v>
      </c>
      <c r="G60" s="339">
        <v>101.805447</v>
      </c>
      <c r="H60" s="339">
        <v>102.040676</v>
      </c>
      <c r="I60" s="111">
        <v>96.600000000000009</v>
      </c>
      <c r="J60" s="132">
        <f>AVERAGE(E60:H60)</f>
        <v>101.94557225000001</v>
      </c>
      <c r="K60" s="110"/>
    </row>
    <row r="61" spans="1:16" ht="27.75" thickBot="1" x14ac:dyDescent="0.3">
      <c r="B61" s="261" t="s">
        <v>296</v>
      </c>
      <c r="C61" s="262"/>
      <c r="D61" s="262"/>
      <c r="E61" s="127">
        <f>E63</f>
        <v>1738.8189428455296</v>
      </c>
      <c r="F61" s="127">
        <f>F62+F63</f>
        <v>4195.6392878129009</v>
      </c>
      <c r="G61" s="127">
        <f t="shared" ref="G61:H61" si="12">G62+G63</f>
        <v>4264.9000640900767</v>
      </c>
      <c r="H61" s="127">
        <f t="shared" si="12"/>
        <v>4349.1179011276845</v>
      </c>
      <c r="I61" s="186">
        <f t="shared" ref="I61" si="13">I58</f>
        <v>4465.9740692787636</v>
      </c>
      <c r="J61" s="128">
        <f t="shared" si="10"/>
        <v>3637.119048969048</v>
      </c>
      <c r="K61" s="127">
        <f>NPV($G$2,E61:H61)</f>
        <v>13886.410623466307</v>
      </c>
    </row>
    <row r="62" spans="1:16" ht="15.75" thickBot="1" x14ac:dyDescent="0.3">
      <c r="B62" s="130" t="s">
        <v>72</v>
      </c>
      <c r="C62" s="260"/>
      <c r="D62" s="260"/>
      <c r="E62" s="131">
        <f>7/12*E54*D57</f>
        <v>2434.3465199837415</v>
      </c>
      <c r="F62" s="131">
        <f>7/12*F54*E57</f>
        <v>2432.3331427107596</v>
      </c>
      <c r="G62" s="131">
        <f>7/12*G54*F57</f>
        <v>2470.4396341904021</v>
      </c>
      <c r="H62" s="131">
        <f>7/12*H54*G57</f>
        <v>2516.0996387161877</v>
      </c>
      <c r="I62" s="111">
        <f>7/12*I54*H57</f>
        <v>2594.2579014460025</v>
      </c>
      <c r="J62" s="132">
        <f>AVERAGE(E62:H62)</f>
        <v>2463.3047339002728</v>
      </c>
      <c r="K62" s="109"/>
    </row>
    <row r="63" spans="1:16" ht="15.75" thickBot="1" x14ac:dyDescent="0.3">
      <c r="B63" s="130" t="s">
        <v>73</v>
      </c>
      <c r="C63" s="260"/>
      <c r="D63" s="260"/>
      <c r="E63" s="131">
        <f>5/12*E54*E57</f>
        <v>1738.8189428455296</v>
      </c>
      <c r="F63" s="131">
        <f>5/12*F54*F57</f>
        <v>1763.3061451021413</v>
      </c>
      <c r="G63" s="131">
        <f>5/12*G54*G57</f>
        <v>1794.4604298996744</v>
      </c>
      <c r="H63" s="131">
        <f>5/12*H54*H57</f>
        <v>1833.0182624114971</v>
      </c>
      <c r="I63" s="111">
        <f>5/12*I54*I57</f>
        <v>1871.7161678327611</v>
      </c>
      <c r="J63" s="132">
        <f t="shared" ref="J63" si="14">AVERAGE(E63:H63)</f>
        <v>1782.4009450647106</v>
      </c>
      <c r="K63" s="110"/>
    </row>
    <row r="64" spans="1:16" ht="15.75" thickBot="1" x14ac:dyDescent="0.3">
      <c r="B64" s="448" t="s">
        <v>306</v>
      </c>
      <c r="C64" s="613"/>
      <c r="D64" s="614"/>
      <c r="E64" s="136">
        <f>E7+G3</f>
        <v>1.092207617242269E-2</v>
      </c>
      <c r="F64" s="136">
        <f>F7+$G$3</f>
        <v>1.492207617242269E-2</v>
      </c>
      <c r="G64" s="136">
        <f>G7+$G$3</f>
        <v>1.6922076172422688E-2</v>
      </c>
      <c r="H64" s="136">
        <f>H7+$G$3</f>
        <v>1.9922076172422691E-2</v>
      </c>
      <c r="I64" s="188">
        <f>H7-$G$3</f>
        <v>1.007792382757731E-2</v>
      </c>
      <c r="J64" s="135"/>
      <c r="K64" s="109"/>
      <c r="L64" s="252"/>
    </row>
    <row r="65" spans="2:16" ht="26.25" thickBot="1" x14ac:dyDescent="0.3">
      <c r="B65" s="448" t="s">
        <v>307</v>
      </c>
      <c r="C65" s="134"/>
      <c r="D65" s="134">
        <v>1</v>
      </c>
      <c r="E65" s="137">
        <f>D65*(1+E64)</f>
        <v>1.0109220761724227</v>
      </c>
      <c r="F65" s="137">
        <f>E65*(1+F64)</f>
        <v>1.0260071323974513</v>
      </c>
      <c r="G65" s="137">
        <f>F65*(1+G64)</f>
        <v>1.0433693032453299</v>
      </c>
      <c r="H65" s="137">
        <f>G65*(1+H64)</f>
        <v>1.0641553859805508</v>
      </c>
      <c r="I65" s="189">
        <f>H65*(1+I64)</f>
        <v>1.0748798629011689</v>
      </c>
      <c r="J65" s="135"/>
      <c r="K65" s="109"/>
      <c r="L65" s="252"/>
    </row>
    <row r="66" spans="2:16" ht="15.75" thickBot="1" x14ac:dyDescent="0.3">
      <c r="F66" s="141"/>
      <c r="I66" s="184"/>
      <c r="L66" s="180"/>
      <c r="M66" s="180"/>
      <c r="N66" s="180"/>
      <c r="O66" s="180"/>
      <c r="P66" s="180"/>
    </row>
    <row r="67" spans="2:16" ht="27.75" thickBot="1" x14ac:dyDescent="0.3">
      <c r="B67" s="121" t="s">
        <v>76</v>
      </c>
      <c r="C67" s="122"/>
      <c r="D67" s="122"/>
      <c r="E67" s="123">
        <f>E68+E69</f>
        <v>4358.2045698857273</v>
      </c>
      <c r="F67" s="123">
        <f>F68+F69</f>
        <v>4411.299406870934</v>
      </c>
      <c r="G67" s="123">
        <f>G68+G69</f>
        <v>4486.4533064077405</v>
      </c>
      <c r="H67" s="123">
        <f>H68+H69</f>
        <v>4577.9043087532782</v>
      </c>
      <c r="I67" s="187">
        <f>I68+I69</f>
        <v>4696.975393895199</v>
      </c>
      <c r="J67" s="124">
        <f>AVERAGE(E67:H67)</f>
        <v>4458.4653979794202</v>
      </c>
      <c r="K67" s="123"/>
      <c r="L67" s="180"/>
      <c r="M67" s="180"/>
      <c r="N67" s="180"/>
      <c r="O67" s="180"/>
      <c r="P67" s="180"/>
    </row>
    <row r="68" spans="2:16" ht="15.75" thickBot="1" x14ac:dyDescent="0.3">
      <c r="B68" s="142" t="s">
        <v>72</v>
      </c>
      <c r="C68" s="621"/>
      <c r="D68" s="622"/>
      <c r="E68" s="428">
        <f>E52*D65</f>
        <v>2530.7688117098883</v>
      </c>
      <c r="F68" s="144">
        <f>F52*E65</f>
        <v>2557.3575356964689</v>
      </c>
      <c r="G68" s="144">
        <f>G52*F65</f>
        <v>2598.7741561440184</v>
      </c>
      <c r="H68" s="144">
        <f>H52*G65</f>
        <v>2648.4596737064253</v>
      </c>
      <c r="I68" s="190">
        <f>I52*H65</f>
        <v>2728.4452035517356</v>
      </c>
      <c r="J68" s="145">
        <f>AVERAGE(E68:H68)</f>
        <v>2583.8400443142004</v>
      </c>
      <c r="K68" s="146"/>
      <c r="L68" s="180"/>
      <c r="M68" s="180"/>
      <c r="N68" s="180"/>
      <c r="O68" s="180"/>
      <c r="P68" s="180"/>
    </row>
    <row r="69" spans="2:16" ht="15.75" thickBot="1" x14ac:dyDescent="0.3">
      <c r="B69" s="142" t="s">
        <v>73</v>
      </c>
      <c r="C69" s="143"/>
      <c r="D69" s="143"/>
      <c r="E69" s="428">
        <f>E53*E65</f>
        <v>1827.4357581758395</v>
      </c>
      <c r="F69" s="144">
        <f>F53*F65</f>
        <v>1853.9418711744649</v>
      </c>
      <c r="G69" s="144">
        <f>G53*G65</f>
        <v>1887.6791502637218</v>
      </c>
      <c r="H69" s="144">
        <f>H53*H65</f>
        <v>1929.4446350468529</v>
      </c>
      <c r="I69" s="190">
        <f>I53*I65</f>
        <v>1968.5301903434631</v>
      </c>
      <c r="J69" s="145">
        <f t="shared" ref="J69" si="15">AVERAGE(E69:H69)</f>
        <v>1874.6253536652198</v>
      </c>
      <c r="K69" s="147"/>
      <c r="L69" s="180"/>
      <c r="N69" s="180"/>
      <c r="O69" s="180"/>
      <c r="P69" s="180"/>
    </row>
    <row r="70" spans="2:16" ht="15.75" thickBot="1" x14ac:dyDescent="0.3">
      <c r="B70" s="121" t="s">
        <v>77</v>
      </c>
      <c r="C70" s="122"/>
      <c r="D70" s="122"/>
      <c r="E70" s="430">
        <f>E67*(1+E85)+E60</f>
        <v>4294.4320697730809</v>
      </c>
      <c r="F70" s="424">
        <f>F67*(1+F85)+F60</f>
        <v>4343.1254517064026</v>
      </c>
      <c r="G70" s="123">
        <f>G67*(1+G85)+G60</f>
        <v>4413.2870744578386</v>
      </c>
      <c r="H70" s="123">
        <f>H67*(1+H85)+H60</f>
        <v>4498.6599741266482</v>
      </c>
      <c r="I70" s="187">
        <f t="shared" ref="I70" si="16">I67*(1-4.39%)+I60</f>
        <v>4587.3781741031999</v>
      </c>
      <c r="J70" s="124">
        <f>AVERAGE(E70:H70)</f>
        <v>4387.3761425159928</v>
      </c>
      <c r="K70" s="124">
        <f>NPV($G$2,E70:H70)</f>
        <v>16822.761807778439</v>
      </c>
      <c r="L70" s="341"/>
      <c r="M70" s="426"/>
      <c r="N70" s="593"/>
      <c r="O70" s="340"/>
      <c r="P70" s="340"/>
    </row>
    <row r="71" spans="2:16" ht="23.25" customHeight="1" thickBot="1" x14ac:dyDescent="0.3">
      <c r="E71" s="431"/>
      <c r="F71" s="571">
        <f>(F68+(1-0.01%)/E65*F69)*(1+F85)+F60</f>
        <v>4323.6901570597865</v>
      </c>
      <c r="I71" s="191"/>
      <c r="J71" s="141"/>
    </row>
    <row r="72" spans="2:16" ht="27.75" thickBot="1" x14ac:dyDescent="0.3">
      <c r="B72" s="258" t="s">
        <v>78</v>
      </c>
      <c r="C72" s="260"/>
      <c r="D72" s="260"/>
      <c r="E72" s="109">
        <f>E70-E48</f>
        <v>82.000438802203462</v>
      </c>
      <c r="F72" s="109">
        <f t="shared" ref="F72:G72" si="17">F70-F48</f>
        <v>17.004914674816064</v>
      </c>
      <c r="G72" s="109">
        <f t="shared" si="17"/>
        <v>-21.725911684010498</v>
      </c>
      <c r="H72" s="109">
        <f>H70-H48</f>
        <v>-81.752552650656071</v>
      </c>
      <c r="I72" s="185"/>
      <c r="J72" s="110">
        <f>AVERAGE(E72:H72)</f>
        <v>-1.1182777144117608</v>
      </c>
      <c r="K72" s="110">
        <f>NPV($G$2,E72:H72)</f>
        <v>-5.4687441478405352E-3</v>
      </c>
      <c r="L72" s="252"/>
    </row>
    <row r="73" spans="2:16" ht="15.75" thickBot="1" x14ac:dyDescent="0.3"/>
    <row r="74" spans="2:16" ht="15.75" thickBot="1" x14ac:dyDescent="0.3">
      <c r="B74" s="618" t="s">
        <v>311</v>
      </c>
      <c r="C74" s="619"/>
      <c r="D74" s="619"/>
      <c r="E74" s="619"/>
      <c r="F74" s="619"/>
      <c r="G74" s="619"/>
      <c r="H74" s="619"/>
      <c r="I74" s="619"/>
      <c r="J74" s="619"/>
      <c r="K74" s="620"/>
      <c r="L74" s="192"/>
      <c r="M74" s="193"/>
    </row>
    <row r="75" spans="2:16" ht="15.75" thickBot="1" x14ac:dyDescent="0.3">
      <c r="B75" s="235"/>
      <c r="C75" s="350"/>
      <c r="D75" s="350"/>
      <c r="E75" s="351"/>
      <c r="F75" s="352"/>
      <c r="G75" s="352"/>
      <c r="H75" s="352"/>
      <c r="I75" s="353"/>
      <c r="J75" s="352"/>
      <c r="K75" s="356"/>
      <c r="L75" s="193"/>
      <c r="M75" s="193"/>
    </row>
    <row r="76" spans="2:16" ht="15.75" thickBot="1" x14ac:dyDescent="0.3">
      <c r="B76" s="235" t="s">
        <v>79</v>
      </c>
      <c r="C76" s="610"/>
      <c r="D76" s="611"/>
      <c r="E76" s="117">
        <v>2021</v>
      </c>
      <c r="F76" s="117">
        <v>2022</v>
      </c>
      <c r="G76" s="117">
        <v>2023</v>
      </c>
      <c r="H76" s="117">
        <v>2024</v>
      </c>
      <c r="I76" s="354">
        <v>2025</v>
      </c>
      <c r="J76" s="355"/>
      <c r="K76" s="193"/>
      <c r="M76" s="193"/>
    </row>
    <row r="77" spans="2:16" ht="25.5" customHeight="1" thickBot="1" x14ac:dyDescent="0.3">
      <c r="B77" s="130" t="s">
        <v>312</v>
      </c>
      <c r="C77" s="610"/>
      <c r="D77" s="611"/>
      <c r="E77" s="132">
        <f>E52*(1+E85)</f>
        <v>2434.3465199837415</v>
      </c>
      <c r="F77" s="132">
        <f>F52*(1+F85)</f>
        <v>2432.3331427107596</v>
      </c>
      <c r="G77" s="132">
        <f>G52*(1+G85)</f>
        <v>2434.1175467452385</v>
      </c>
      <c r="H77" s="132">
        <f>H52*(1+H85)</f>
        <v>2437.8526977130864</v>
      </c>
      <c r="I77" s="132">
        <f>I52*(1-4.39%)*(1+$G$4)</f>
        <v>2478.1705262533151</v>
      </c>
      <c r="J77" s="450">
        <f>J52*(1-I85)*(1+$G$4)</f>
        <v>2659.9485247395237</v>
      </c>
      <c r="K77" s="356"/>
      <c r="L77" s="193"/>
      <c r="M77" s="193"/>
    </row>
    <row r="78" spans="2:16" ht="15.75" thickBot="1" x14ac:dyDescent="0.3">
      <c r="B78" s="130" t="s">
        <v>73</v>
      </c>
      <c r="C78" s="610"/>
      <c r="D78" s="611"/>
      <c r="E78" s="131">
        <f>E53*(1-4.39%)*(1+$G$4)</f>
        <v>1747.2113283919202</v>
      </c>
      <c r="F78" s="131">
        <f>F53*(1-4.39%)*(1+$G$4)</f>
        <v>1746.4925284852811</v>
      </c>
      <c r="G78" s="131">
        <f>G53*(1-4.39%)*(1+$G$4)</f>
        <v>1748.6831389205222</v>
      </c>
      <c r="H78" s="131">
        <f>H53*(1-4.39%)*(1+$G$4)</f>
        <v>1752.460639629639</v>
      </c>
      <c r="I78" s="131">
        <f>I53*(1-4.39%)*(1+$G$4)</f>
        <v>1770.1218044666537</v>
      </c>
      <c r="J78" s="355"/>
      <c r="K78" s="357"/>
      <c r="L78" s="193"/>
      <c r="M78" s="193"/>
    </row>
    <row r="79" spans="2:16" ht="28.5" customHeight="1" thickBot="1" x14ac:dyDescent="0.3">
      <c r="B79" s="235" t="s">
        <v>80</v>
      </c>
      <c r="C79" s="610"/>
      <c r="D79" s="611"/>
      <c r="E79" s="153"/>
      <c r="F79" s="131"/>
      <c r="G79" s="131"/>
      <c r="H79" s="131"/>
      <c r="I79" s="111"/>
      <c r="J79" s="355"/>
      <c r="K79" s="356"/>
    </row>
    <row r="80" spans="2:16" ht="15.75" thickBot="1" x14ac:dyDescent="0.3">
      <c r="B80" s="130" t="s">
        <v>72</v>
      </c>
      <c r="C80" s="610"/>
      <c r="D80" s="611"/>
      <c r="E80" s="132">
        <f>E77+7/12*E60</f>
        <v>2494.0069914837413</v>
      </c>
      <c r="F80" s="132">
        <f>F77+7/12*F60</f>
        <v>2491.6354347107595</v>
      </c>
      <c r="G80" s="132">
        <f>G77+7/12*G60</f>
        <v>2493.5040574952386</v>
      </c>
      <c r="H80" s="132">
        <f t="shared" ref="H80:J80" si="18">H77+7/12*H60</f>
        <v>2497.3764253797531</v>
      </c>
      <c r="I80" s="132">
        <f t="shared" si="18"/>
        <v>2534.520526253315</v>
      </c>
      <c r="J80" s="450">
        <f t="shared" si="18"/>
        <v>2719.4167752186904</v>
      </c>
      <c r="K80" s="356"/>
    </row>
    <row r="81" spans="2:11" ht="15.75" thickBot="1" x14ac:dyDescent="0.3">
      <c r="B81" s="130" t="s">
        <v>73</v>
      </c>
      <c r="C81" s="610"/>
      <c r="D81" s="611"/>
      <c r="E81" s="131">
        <f>E78+5/12*E60</f>
        <v>1789.8259508919202</v>
      </c>
      <c r="F81" s="131">
        <f>F78+5/12*F60</f>
        <v>1788.8513084852812</v>
      </c>
      <c r="G81" s="131">
        <f>G78+5/12*G60</f>
        <v>1791.1020751705223</v>
      </c>
      <c r="H81" s="131">
        <f>H78+5/12*H60</f>
        <v>1794.9775879629724</v>
      </c>
      <c r="I81" s="131">
        <f>I78+5/12*I60</f>
        <v>1810.3718044666537</v>
      </c>
      <c r="J81" s="355"/>
      <c r="K81" s="357"/>
    </row>
    <row r="82" spans="2:11" ht="15.75" thickBot="1" x14ac:dyDescent="0.3">
      <c r="E82" s="141">
        <f>E80+E81</f>
        <v>4283.8329423756613</v>
      </c>
      <c r="F82" s="141">
        <f>F80+F81</f>
        <v>4280.4867431960411</v>
      </c>
      <c r="G82" s="141">
        <f t="shared" ref="G82:I82" si="19">G80+G81</f>
        <v>4284.6061326657609</v>
      </c>
      <c r="H82" s="141">
        <f t="shared" si="19"/>
        <v>4292.354013342725</v>
      </c>
      <c r="I82" s="141">
        <f t="shared" si="19"/>
        <v>4344.8923307199684</v>
      </c>
      <c r="K82" s="124">
        <f>NPV($G$2,E82:H82)</f>
        <v>16436.588881741965</v>
      </c>
    </row>
    <row r="83" spans="2:11" ht="15.75" thickBot="1" x14ac:dyDescent="0.3"/>
    <row r="84" spans="2:11" ht="27.75" thickBot="1" x14ac:dyDescent="0.3">
      <c r="E84" s="117">
        <v>2021</v>
      </c>
      <c r="F84" s="117">
        <v>2022</v>
      </c>
      <c r="G84" s="117">
        <v>2023</v>
      </c>
      <c r="H84" s="117">
        <v>2024</v>
      </c>
      <c r="I84" s="354" t="s">
        <v>313</v>
      </c>
    </row>
    <row r="85" spans="2:11" ht="15.75" thickBot="1" x14ac:dyDescent="0.3">
      <c r="B85" s="382" t="s">
        <v>326</v>
      </c>
      <c r="C85" s="383"/>
      <c r="D85" s="384"/>
      <c r="E85" s="381">
        <v>-3.8100000000000002E-2</v>
      </c>
      <c r="F85" s="381">
        <v>-3.85E-2</v>
      </c>
      <c r="G85" s="381">
        <v>-3.9E-2</v>
      </c>
      <c r="H85" s="381">
        <v>-3.9600000000000003E-2</v>
      </c>
      <c r="I85" s="381">
        <f>-GEOMEAN(ABS(E85),ABS(F85),ABS(G85),ABS(H85))</f>
        <v>-3.879594853414596E-2</v>
      </c>
    </row>
  </sheetData>
  <mergeCells count="17">
    <mergeCell ref="A7:A8"/>
    <mergeCell ref="C77:D77"/>
    <mergeCell ref="B74:K74"/>
    <mergeCell ref="C68:D68"/>
    <mergeCell ref="A11:A24"/>
    <mergeCell ref="A26:A29"/>
    <mergeCell ref="A35:A38"/>
    <mergeCell ref="D2:F2"/>
    <mergeCell ref="D3:F3"/>
    <mergeCell ref="D4:F4"/>
    <mergeCell ref="C76:D76"/>
    <mergeCell ref="C78:D78"/>
    <mergeCell ref="C80:D80"/>
    <mergeCell ref="C81:D81"/>
    <mergeCell ref="A44:A46"/>
    <mergeCell ref="C79:D79"/>
    <mergeCell ref="C64:D6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2:M188"/>
  <sheetViews>
    <sheetView topLeftCell="A177" zoomScale="110" workbookViewId="0">
      <selection activeCell="G26" sqref="G26"/>
    </sheetView>
  </sheetViews>
  <sheetFormatPr baseColWidth="10" defaultColWidth="11.28515625" defaultRowHeight="15" x14ac:dyDescent="0.25"/>
  <cols>
    <col min="2" max="2" width="12.28515625" customWidth="1"/>
    <col min="3" max="3" width="13.28515625" customWidth="1"/>
    <col min="4" max="4" width="27.85546875" customWidth="1"/>
    <col min="5" max="5" width="2.7109375" customWidth="1"/>
    <col min="6" max="6" width="34.140625" customWidth="1"/>
    <col min="11" max="11" width="10" customWidth="1"/>
  </cols>
  <sheetData>
    <row r="2" spans="1:13" ht="15.75" x14ac:dyDescent="0.3">
      <c r="A2" s="72" t="s">
        <v>81</v>
      </c>
      <c r="B2" s="79"/>
      <c r="C2" s="76"/>
      <c r="D2" s="83"/>
      <c r="E2" s="96"/>
      <c r="F2" s="96"/>
      <c r="G2" s="96"/>
    </row>
    <row r="3" spans="1:13" ht="15.75" x14ac:dyDescent="0.3">
      <c r="A3" s="70" t="s">
        <v>82</v>
      </c>
      <c r="B3" s="78"/>
      <c r="C3" s="75"/>
      <c r="D3" s="82"/>
    </row>
    <row r="4" spans="1:13" ht="15.75" x14ac:dyDescent="0.3">
      <c r="A4" s="71" t="s">
        <v>83</v>
      </c>
      <c r="B4" s="81"/>
      <c r="C4" s="77"/>
      <c r="D4" s="84"/>
      <c r="E4" s="179"/>
    </row>
    <row r="5" spans="1:13" ht="15.75" thickBot="1" x14ac:dyDescent="0.3"/>
    <row r="6" spans="1:13" ht="27.75" customHeight="1" thickBot="1" x14ac:dyDescent="0.3">
      <c r="A6" s="95"/>
      <c r="B6" s="624" t="s">
        <v>84</v>
      </c>
      <c r="C6" s="625"/>
      <c r="D6" s="626"/>
      <c r="F6" s="100" t="s">
        <v>85</v>
      </c>
      <c r="G6" s="99">
        <v>2020</v>
      </c>
      <c r="H6" s="99">
        <v>2021</v>
      </c>
      <c r="I6" s="99">
        <v>2022</v>
      </c>
      <c r="J6" s="99">
        <v>2023</v>
      </c>
      <c r="K6" s="99">
        <v>2024</v>
      </c>
      <c r="L6" s="98">
        <v>2025</v>
      </c>
    </row>
    <row r="7" spans="1:13" ht="28.5" customHeight="1" thickBot="1" x14ac:dyDescent="0.3">
      <c r="A7" s="95"/>
      <c r="B7" s="627" t="s">
        <v>86</v>
      </c>
      <c r="C7" s="628"/>
      <c r="D7" s="629"/>
      <c r="F7" s="263" t="s">
        <v>87</v>
      </c>
      <c r="G7" s="264">
        <f>AVERAGE(D69:D80)</f>
        <v>103.98333333333331</v>
      </c>
      <c r="H7" s="298">
        <f>AVERAGE(D57:D68)</f>
        <v>105.59916666666668</v>
      </c>
      <c r="I7" s="298">
        <f>AVERAGE(D45:D56)</f>
        <v>111.24333333333334</v>
      </c>
      <c r="J7" s="246">
        <f>AVERAGE(D33:D44)</f>
        <v>112.57825333333334</v>
      </c>
      <c r="K7" s="246">
        <f>AVERAGE(D21:D32)</f>
        <v>114.26692713333334</v>
      </c>
      <c r="L7" s="250">
        <f>AVERAGE(D9:D20)</f>
        <v>115.99235773304666</v>
      </c>
      <c r="M7" s="251"/>
    </row>
    <row r="8" spans="1:13" ht="27.75" thickBot="1" x14ac:dyDescent="0.3">
      <c r="A8" s="95"/>
      <c r="B8" s="265" t="s">
        <v>88</v>
      </c>
      <c r="C8" s="265" t="s">
        <v>89</v>
      </c>
      <c r="D8" s="101" t="s">
        <v>90</v>
      </c>
      <c r="F8" s="266" t="s">
        <v>91</v>
      </c>
      <c r="G8" s="398">
        <v>2.0719230336807559E-3</v>
      </c>
      <c r="H8" s="299">
        <f t="shared" ref="H8" si="0">ROUND(H7/G7-1,4)</f>
        <v>1.55E-2</v>
      </c>
      <c r="I8" s="299">
        <f>ROUND(I7/H7-1,4)</f>
        <v>5.3400000000000003E-2</v>
      </c>
      <c r="J8" s="247">
        <f t="shared" ref="J8:L8" si="1">ROUND(J7/I7-1,4)</f>
        <v>1.2E-2</v>
      </c>
      <c r="K8" s="247">
        <f t="shared" si="1"/>
        <v>1.4999999999999999E-2</v>
      </c>
      <c r="L8" s="249">
        <f t="shared" si="1"/>
        <v>1.5100000000000001E-2</v>
      </c>
    </row>
    <row r="9" spans="1:13" ht="15" customHeight="1" thickBot="1" x14ac:dyDescent="0.3">
      <c r="A9" s="95"/>
      <c r="B9" s="267">
        <v>2025</v>
      </c>
      <c r="C9" s="244">
        <v>12</v>
      </c>
      <c r="D9" s="295">
        <f>$K$7*(1+'Equilibre prévisionnel'!$I$7)</f>
        <v>115.99235773304666</v>
      </c>
      <c r="F9" s="97" t="s">
        <v>92</v>
      </c>
      <c r="G9" s="107">
        <f>G7/100</f>
        <v>1.0398333333333332</v>
      </c>
      <c r="H9" s="107">
        <f>G9*(1+H8)</f>
        <v>1.0559507499999998</v>
      </c>
      <c r="I9" s="107">
        <f t="shared" ref="I9:L9" si="2">H9*(1+I8)</f>
        <v>1.1123385200499998</v>
      </c>
      <c r="J9" s="107">
        <f t="shared" si="2"/>
        <v>1.1256865822905997</v>
      </c>
      <c r="K9" s="107">
        <f t="shared" si="2"/>
        <v>1.1425718810249585</v>
      </c>
      <c r="L9" s="107">
        <f t="shared" si="2"/>
        <v>1.1598247164284352</v>
      </c>
    </row>
    <row r="10" spans="1:13" ht="15" customHeight="1" thickBot="1" x14ac:dyDescent="0.3">
      <c r="A10" s="95"/>
      <c r="B10" s="268">
        <v>2025</v>
      </c>
      <c r="C10" s="269">
        <v>11</v>
      </c>
      <c r="D10" s="295">
        <f>$K$7*(1+'Equilibre prévisionnel'!$I$7)</f>
        <v>115.99235773304666</v>
      </c>
      <c r="F10" s="97" t="s">
        <v>341</v>
      </c>
      <c r="G10" s="107">
        <f>(1+G8)</f>
        <v>1.0020719230336808</v>
      </c>
      <c r="H10" s="107">
        <f>G10*(H8+1)</f>
        <v>1.017604037840703</v>
      </c>
      <c r="I10" s="107">
        <f t="shared" ref="I10:L10" si="3">H10*(I8+1)</f>
        <v>1.0719440934613964</v>
      </c>
      <c r="J10" s="107">
        <f t="shared" si="3"/>
        <v>1.0848074225829332</v>
      </c>
      <c r="K10" s="107">
        <f t="shared" si="3"/>
        <v>1.101079533921677</v>
      </c>
      <c r="L10" s="107">
        <f t="shared" si="3"/>
        <v>1.1177058348838942</v>
      </c>
    </row>
    <row r="11" spans="1:13" ht="15.75" thickBot="1" x14ac:dyDescent="0.3">
      <c r="A11" s="95"/>
      <c r="B11" s="268">
        <v>2025</v>
      </c>
      <c r="C11" s="269">
        <v>10</v>
      </c>
      <c r="D11" s="295">
        <f>$K$7*(1+'Equilibre prévisionnel'!$I$7)</f>
        <v>115.99235773304666</v>
      </c>
    </row>
    <row r="12" spans="1:13" ht="15.75" customHeight="1" thickBot="1" x14ac:dyDescent="0.3">
      <c r="A12" s="95"/>
      <c r="B12" s="268">
        <v>2025</v>
      </c>
      <c r="C12" s="269">
        <v>9</v>
      </c>
      <c r="D12" s="295">
        <f>$K$7*(1+'Equilibre prévisionnel'!$I$7)</f>
        <v>115.99235773304666</v>
      </c>
      <c r="F12" s="100" t="s">
        <v>348</v>
      </c>
      <c r="G12" s="100"/>
      <c r="H12" s="99">
        <v>2021</v>
      </c>
      <c r="I12" s="99">
        <v>2022</v>
      </c>
      <c r="J12" s="99">
        <v>2023</v>
      </c>
      <c r="K12" s="98">
        <v>2024</v>
      </c>
    </row>
    <row r="13" spans="1:13" ht="27.75" thickBot="1" x14ac:dyDescent="0.3">
      <c r="A13" s="95"/>
      <c r="B13" s="268">
        <v>2025</v>
      </c>
      <c r="C13" s="269">
        <v>8</v>
      </c>
      <c r="D13" s="295">
        <f>$K$7*(1+'Equilibre prévisionnel'!$I$7)</f>
        <v>115.99235773304666</v>
      </c>
      <c r="F13" s="367" t="s">
        <v>321</v>
      </c>
      <c r="G13" s="368"/>
      <c r="H13" s="368"/>
      <c r="I13" s="368"/>
      <c r="J13" s="368"/>
      <c r="K13" s="369"/>
    </row>
    <row r="14" spans="1:13" ht="27.75" thickBot="1" x14ac:dyDescent="0.3">
      <c r="A14" s="95"/>
      <c r="B14" s="268">
        <v>2025</v>
      </c>
      <c r="C14" s="269">
        <v>7</v>
      </c>
      <c r="D14" s="295">
        <f>$K$7*(1+'Equilibre prévisionnel'!$I$7)</f>
        <v>115.99235773304666</v>
      </c>
      <c r="F14" s="362" t="s">
        <v>331</v>
      </c>
      <c r="G14" s="363"/>
      <c r="H14" s="364">
        <v>1.4999999999999902E-2</v>
      </c>
      <c r="I14" s="365">
        <v>1.4999999999999999E-2</v>
      </c>
      <c r="J14" s="572">
        <v>4.2000000000000003E-2</v>
      </c>
      <c r="K14" s="366"/>
    </row>
    <row r="15" spans="1:13" x14ac:dyDescent="0.25">
      <c r="A15" s="95"/>
      <c r="B15" s="268">
        <v>2025</v>
      </c>
      <c r="C15" s="269">
        <v>6</v>
      </c>
      <c r="D15" s="295">
        <f>$K$7*(1+'Equilibre prévisionnel'!$I$7)</f>
        <v>115.99235773304666</v>
      </c>
    </row>
    <row r="16" spans="1:13" x14ac:dyDescent="0.25">
      <c r="A16" s="95"/>
      <c r="B16" s="268">
        <v>2025</v>
      </c>
      <c r="C16" s="269">
        <v>5</v>
      </c>
      <c r="D16" s="295">
        <f>$K$7*(1+'Equilibre prévisionnel'!$I$7)</f>
        <v>115.99235773304666</v>
      </c>
      <c r="F16" s="370" t="s">
        <v>322</v>
      </c>
    </row>
    <row r="17" spans="1:6" x14ac:dyDescent="0.25">
      <c r="A17" s="95"/>
      <c r="B17" s="268">
        <v>2025</v>
      </c>
      <c r="C17" s="269">
        <v>4</v>
      </c>
      <c r="D17" s="295">
        <f>$K$7*(1+'Equilibre prévisionnel'!$I$7)</f>
        <v>115.99235773304666</v>
      </c>
      <c r="F17" s="4" t="s">
        <v>82</v>
      </c>
    </row>
    <row r="18" spans="1:6" x14ac:dyDescent="0.25">
      <c r="A18" s="95"/>
      <c r="B18" s="268">
        <v>2025</v>
      </c>
      <c r="C18" s="269">
        <v>3</v>
      </c>
      <c r="D18" s="295">
        <f>$K$7*(1+'Equilibre prévisionnel'!$I$7)</f>
        <v>115.99235773304666</v>
      </c>
    </row>
    <row r="19" spans="1:6" x14ac:dyDescent="0.25">
      <c r="A19" s="95"/>
      <c r="B19" s="268">
        <v>2025</v>
      </c>
      <c r="C19" s="269">
        <v>2</v>
      </c>
      <c r="D19" s="295">
        <f>$K$7*(1+'Equilibre prévisionnel'!$I$7)</f>
        <v>115.99235773304666</v>
      </c>
    </row>
    <row r="20" spans="1:6" ht="15.75" thickBot="1" x14ac:dyDescent="0.3">
      <c r="A20" s="95"/>
      <c r="B20" s="270">
        <v>2025</v>
      </c>
      <c r="C20" s="271">
        <v>1</v>
      </c>
      <c r="D20" s="297">
        <f>$K$7*(1+'Equilibre prévisionnel'!$I$7)</f>
        <v>115.99235773304666</v>
      </c>
    </row>
    <row r="21" spans="1:6" x14ac:dyDescent="0.25">
      <c r="A21" s="95"/>
      <c r="B21" s="267">
        <v>2024</v>
      </c>
      <c r="C21" s="244">
        <v>12</v>
      </c>
      <c r="D21" s="296">
        <f>$J$7*(1+'Equilibre prévisionnel'!$H$7)</f>
        <v>114.26692713333333</v>
      </c>
    </row>
    <row r="22" spans="1:6" ht="15" customHeight="1" x14ac:dyDescent="0.25">
      <c r="A22" s="95"/>
      <c r="B22" s="268">
        <v>2024</v>
      </c>
      <c r="C22" s="269">
        <v>11</v>
      </c>
      <c r="D22" s="295">
        <f>$J$7*(1+'Equilibre prévisionnel'!$H$7)</f>
        <v>114.26692713333333</v>
      </c>
    </row>
    <row r="23" spans="1:6" x14ac:dyDescent="0.25">
      <c r="A23" s="95"/>
      <c r="B23" s="268">
        <v>2024</v>
      </c>
      <c r="C23" s="269">
        <v>10</v>
      </c>
      <c r="D23" s="295">
        <f>$J$7*(1+'Equilibre prévisionnel'!$H$7)</f>
        <v>114.26692713333333</v>
      </c>
    </row>
    <row r="24" spans="1:6" x14ac:dyDescent="0.25">
      <c r="A24" s="95"/>
      <c r="B24" s="268">
        <v>2024</v>
      </c>
      <c r="C24" s="269">
        <v>9</v>
      </c>
      <c r="D24" s="295">
        <f>$J$7*(1+'Equilibre prévisionnel'!$H$7)</f>
        <v>114.26692713333333</v>
      </c>
    </row>
    <row r="25" spans="1:6" x14ac:dyDescent="0.25">
      <c r="A25" s="95"/>
      <c r="B25" s="268">
        <v>2024</v>
      </c>
      <c r="C25" s="269">
        <v>8</v>
      </c>
      <c r="D25" s="295">
        <f>$J$7*(1+'Equilibre prévisionnel'!$H$7)</f>
        <v>114.26692713333333</v>
      </c>
    </row>
    <row r="26" spans="1:6" x14ac:dyDescent="0.25">
      <c r="A26" s="95"/>
      <c r="B26" s="268">
        <v>2024</v>
      </c>
      <c r="C26" s="269">
        <v>7</v>
      </c>
      <c r="D26" s="295">
        <f>$J$7*(1+'Equilibre prévisionnel'!$H$7)</f>
        <v>114.26692713333333</v>
      </c>
    </row>
    <row r="27" spans="1:6" x14ac:dyDescent="0.25">
      <c r="A27" s="95"/>
      <c r="B27" s="268">
        <v>2024</v>
      </c>
      <c r="C27" s="269">
        <v>6</v>
      </c>
      <c r="D27" s="295">
        <f>$J$7*(1+'Equilibre prévisionnel'!$H$7)</f>
        <v>114.26692713333333</v>
      </c>
    </row>
    <row r="28" spans="1:6" x14ac:dyDescent="0.25">
      <c r="A28" s="95"/>
      <c r="B28" s="268">
        <v>2024</v>
      </c>
      <c r="C28" s="269">
        <v>5</v>
      </c>
      <c r="D28" s="295">
        <f>$J$7*(1+'Equilibre prévisionnel'!$H$7)</f>
        <v>114.26692713333333</v>
      </c>
    </row>
    <row r="29" spans="1:6" x14ac:dyDescent="0.25">
      <c r="A29" s="95"/>
      <c r="B29" s="268">
        <v>2024</v>
      </c>
      <c r="C29" s="269">
        <v>4</v>
      </c>
      <c r="D29" s="295">
        <f>$J$7*(1+'Equilibre prévisionnel'!$H$7)</f>
        <v>114.26692713333333</v>
      </c>
    </row>
    <row r="30" spans="1:6" x14ac:dyDescent="0.25">
      <c r="A30" s="95"/>
      <c r="B30" s="268">
        <v>2024</v>
      </c>
      <c r="C30" s="269">
        <v>3</v>
      </c>
      <c r="D30" s="295">
        <f>$J$7*(1+'Equilibre prévisionnel'!$H$7)</f>
        <v>114.26692713333333</v>
      </c>
    </row>
    <row r="31" spans="1:6" x14ac:dyDescent="0.25">
      <c r="A31" s="95"/>
      <c r="B31" s="268">
        <v>2024</v>
      </c>
      <c r="C31" s="269">
        <v>2</v>
      </c>
      <c r="D31" s="295">
        <f>$J$7*(1+'Equilibre prévisionnel'!$H$7)</f>
        <v>114.26692713333333</v>
      </c>
    </row>
    <row r="32" spans="1:6" ht="15.75" thickBot="1" x14ac:dyDescent="0.3">
      <c r="A32" s="95"/>
      <c r="B32" s="270">
        <v>2024</v>
      </c>
      <c r="C32" s="271">
        <v>1</v>
      </c>
      <c r="D32" s="297">
        <f>$J$7*(1+'Equilibre prévisionnel'!$H$7)</f>
        <v>114.26692713333333</v>
      </c>
    </row>
    <row r="33" spans="1:4" x14ac:dyDescent="0.25">
      <c r="A33" s="95"/>
      <c r="B33" s="267">
        <v>2023</v>
      </c>
      <c r="C33" s="244">
        <v>12</v>
      </c>
      <c r="D33" s="301">
        <f>$I$7*(1+'Equilibre prévisionnel'!$G$7)</f>
        <v>112.57825333333334</v>
      </c>
    </row>
    <row r="34" spans="1:4" x14ac:dyDescent="0.25">
      <c r="A34" s="95"/>
      <c r="B34" s="268">
        <v>2023</v>
      </c>
      <c r="C34" s="269">
        <v>11</v>
      </c>
      <c r="D34" s="300">
        <f>$I$7*(1+'Equilibre prévisionnel'!$G$7)</f>
        <v>112.57825333333334</v>
      </c>
    </row>
    <row r="35" spans="1:4" x14ac:dyDescent="0.25">
      <c r="A35" s="95"/>
      <c r="B35" s="268">
        <v>2023</v>
      </c>
      <c r="C35" s="269">
        <v>10</v>
      </c>
      <c r="D35" s="300">
        <f>$I$7*(1+'Equilibre prévisionnel'!$G$7)</f>
        <v>112.57825333333334</v>
      </c>
    </row>
    <row r="36" spans="1:4" x14ac:dyDescent="0.25">
      <c r="A36" s="95"/>
      <c r="B36" s="268">
        <v>2023</v>
      </c>
      <c r="C36" s="269">
        <v>9</v>
      </c>
      <c r="D36" s="300">
        <f>$I$7*(1+'Equilibre prévisionnel'!$G$7)</f>
        <v>112.57825333333334</v>
      </c>
    </row>
    <row r="37" spans="1:4" x14ac:dyDescent="0.25">
      <c r="A37" s="95"/>
      <c r="B37" s="268">
        <v>2023</v>
      </c>
      <c r="C37" s="269">
        <v>8</v>
      </c>
      <c r="D37" s="300">
        <f>$I$7*(1+'Equilibre prévisionnel'!$G$7)</f>
        <v>112.57825333333334</v>
      </c>
    </row>
    <row r="38" spans="1:4" x14ac:dyDescent="0.25">
      <c r="A38" s="95"/>
      <c r="B38" s="268">
        <v>2023</v>
      </c>
      <c r="C38" s="269">
        <v>7</v>
      </c>
      <c r="D38" s="300">
        <f>$I$7*(1+'Equilibre prévisionnel'!$G$7)</f>
        <v>112.57825333333334</v>
      </c>
    </row>
    <row r="39" spans="1:4" x14ac:dyDescent="0.25">
      <c r="A39" s="95"/>
      <c r="B39" s="268">
        <v>2023</v>
      </c>
      <c r="C39" s="269">
        <v>6</v>
      </c>
      <c r="D39" s="300">
        <f>$I$7*(1+'Equilibre prévisionnel'!$G$7)</f>
        <v>112.57825333333334</v>
      </c>
    </row>
    <row r="40" spans="1:4" x14ac:dyDescent="0.25">
      <c r="A40" s="95"/>
      <c r="B40" s="268">
        <v>2023</v>
      </c>
      <c r="C40" s="269">
        <v>5</v>
      </c>
      <c r="D40" s="300">
        <f>$I$7*(1+'Equilibre prévisionnel'!$G$7)</f>
        <v>112.57825333333334</v>
      </c>
    </row>
    <row r="41" spans="1:4" x14ac:dyDescent="0.25">
      <c r="A41" s="95"/>
      <c r="B41" s="268">
        <v>2023</v>
      </c>
      <c r="C41" s="269">
        <v>4</v>
      </c>
      <c r="D41" s="300">
        <f>$I$7*(1+'Equilibre prévisionnel'!$G$7)</f>
        <v>112.57825333333334</v>
      </c>
    </row>
    <row r="42" spans="1:4" x14ac:dyDescent="0.25">
      <c r="A42" s="95"/>
      <c r="B42" s="268">
        <v>2023</v>
      </c>
      <c r="C42" s="269">
        <v>3</v>
      </c>
      <c r="D42" s="300">
        <f>$I$7*(1+'Equilibre prévisionnel'!$G$7)</f>
        <v>112.57825333333334</v>
      </c>
    </row>
    <row r="43" spans="1:4" x14ac:dyDescent="0.25">
      <c r="A43" s="95"/>
      <c r="B43" s="268">
        <v>2023</v>
      </c>
      <c r="C43" s="269">
        <v>2</v>
      </c>
      <c r="D43" s="300">
        <f>$I$7*(1+'Equilibre prévisionnel'!$G$7)</f>
        <v>112.57825333333334</v>
      </c>
    </row>
    <row r="44" spans="1:4" ht="15.75" thickBot="1" x14ac:dyDescent="0.3">
      <c r="A44" s="95"/>
      <c r="B44" s="270">
        <v>2023</v>
      </c>
      <c r="C44" s="271">
        <v>1</v>
      </c>
      <c r="D44" s="300">
        <f>$I$7*(1+'Equilibre prévisionnel'!$G$7)</f>
        <v>112.57825333333334</v>
      </c>
    </row>
    <row r="45" spans="1:4" x14ac:dyDescent="0.25">
      <c r="A45" s="95"/>
      <c r="B45" s="267">
        <v>2022</v>
      </c>
      <c r="C45" s="244">
        <v>12</v>
      </c>
      <c r="D45" s="569">
        <v>113.53</v>
      </c>
    </row>
    <row r="46" spans="1:4" x14ac:dyDescent="0.25">
      <c r="A46" s="95"/>
      <c r="B46" s="268">
        <v>2022</v>
      </c>
      <c r="C46" s="269">
        <v>11</v>
      </c>
      <c r="D46" s="570">
        <v>113.42</v>
      </c>
    </row>
    <row r="47" spans="1:4" x14ac:dyDescent="0.25">
      <c r="A47" s="95"/>
      <c r="B47" s="268">
        <v>2022</v>
      </c>
      <c r="C47" s="269">
        <v>10</v>
      </c>
      <c r="D47" s="245">
        <v>113.16</v>
      </c>
    </row>
    <row r="48" spans="1:4" x14ac:dyDescent="0.25">
      <c r="A48" s="95"/>
      <c r="B48" s="268">
        <v>2022</v>
      </c>
      <c r="C48" s="269">
        <v>9</v>
      </c>
      <c r="D48" s="245">
        <v>111.99</v>
      </c>
    </row>
    <row r="49" spans="1:4" x14ac:dyDescent="0.25">
      <c r="A49" s="95"/>
      <c r="B49" s="268">
        <v>2022</v>
      </c>
      <c r="C49" s="269">
        <v>8</v>
      </c>
      <c r="D49" s="245">
        <v>112.63</v>
      </c>
    </row>
    <row r="50" spans="1:4" x14ac:dyDescent="0.25">
      <c r="A50" s="95"/>
      <c r="B50" s="268">
        <v>2022</v>
      </c>
      <c r="C50" s="269">
        <v>7</v>
      </c>
      <c r="D50" s="245">
        <v>112.11</v>
      </c>
    </row>
    <row r="51" spans="1:4" x14ac:dyDescent="0.25">
      <c r="A51" s="95"/>
      <c r="B51" s="268">
        <v>2022</v>
      </c>
      <c r="C51" s="269">
        <v>6</v>
      </c>
      <c r="D51" s="245">
        <v>111.8</v>
      </c>
    </row>
    <row r="52" spans="1:4" x14ac:dyDescent="0.25">
      <c r="A52" s="95"/>
      <c r="B52" s="268">
        <v>2022</v>
      </c>
      <c r="C52" s="269">
        <v>5</v>
      </c>
      <c r="D52" s="245">
        <v>110.95</v>
      </c>
    </row>
    <row r="53" spans="1:4" x14ac:dyDescent="0.25">
      <c r="A53" s="95"/>
      <c r="B53" s="268">
        <v>2022</v>
      </c>
      <c r="C53" s="269">
        <v>4</v>
      </c>
      <c r="D53" s="245">
        <v>110.19</v>
      </c>
    </row>
    <row r="54" spans="1:4" x14ac:dyDescent="0.25">
      <c r="A54" s="95"/>
      <c r="B54" s="268">
        <v>2022</v>
      </c>
      <c r="C54" s="269">
        <v>3</v>
      </c>
      <c r="D54" s="245">
        <v>109.7</v>
      </c>
    </row>
    <row r="55" spans="1:4" x14ac:dyDescent="0.25">
      <c r="A55" s="95"/>
      <c r="B55" s="268">
        <v>2022</v>
      </c>
      <c r="C55" s="269">
        <v>2</v>
      </c>
      <c r="D55" s="245">
        <v>108.14</v>
      </c>
    </row>
    <row r="56" spans="1:4" ht="15.75" thickBot="1" x14ac:dyDescent="0.3">
      <c r="A56" s="95"/>
      <c r="B56" s="270">
        <v>2022</v>
      </c>
      <c r="C56" s="271">
        <v>1</v>
      </c>
      <c r="D56" s="245">
        <v>107.3</v>
      </c>
    </row>
    <row r="57" spans="1:4" x14ac:dyDescent="0.25">
      <c r="A57" s="95"/>
      <c r="B57" s="267">
        <v>2021</v>
      </c>
      <c r="C57" s="244">
        <v>12</v>
      </c>
      <c r="D57" s="244">
        <v>107.03</v>
      </c>
    </row>
    <row r="58" spans="1:4" x14ac:dyDescent="0.25">
      <c r="A58" s="95"/>
      <c r="B58" s="268">
        <v>2021</v>
      </c>
      <c r="C58" s="269">
        <v>11</v>
      </c>
      <c r="D58" s="245">
        <v>106.82</v>
      </c>
    </row>
    <row r="59" spans="1:4" x14ac:dyDescent="0.25">
      <c r="A59" s="95"/>
      <c r="B59" s="268">
        <v>2021</v>
      </c>
      <c r="C59" s="269">
        <v>10</v>
      </c>
      <c r="D59" s="245">
        <v>106.42</v>
      </c>
    </row>
    <row r="60" spans="1:4" x14ac:dyDescent="0.25">
      <c r="A60" s="95"/>
      <c r="B60" s="268">
        <v>2021</v>
      </c>
      <c r="C60" s="269">
        <v>9</v>
      </c>
      <c r="D60" s="245">
        <v>105.97</v>
      </c>
    </row>
    <row r="61" spans="1:4" x14ac:dyDescent="0.25">
      <c r="A61" s="95"/>
      <c r="B61" s="268">
        <v>2021</v>
      </c>
      <c r="C61" s="269">
        <v>8</v>
      </c>
      <c r="D61" s="245">
        <v>106.21</v>
      </c>
    </row>
    <row r="62" spans="1:4" x14ac:dyDescent="0.25">
      <c r="A62" s="95"/>
      <c r="B62" s="268">
        <v>2021</v>
      </c>
      <c r="C62" s="269">
        <v>7</v>
      </c>
      <c r="D62" s="245">
        <v>105.55</v>
      </c>
    </row>
    <row r="63" spans="1:4" x14ac:dyDescent="0.25">
      <c r="A63" s="95"/>
      <c r="B63" s="268">
        <v>2021</v>
      </c>
      <c r="C63" s="269">
        <v>6</v>
      </c>
      <c r="D63" s="245">
        <v>105.48</v>
      </c>
    </row>
    <row r="64" spans="1:4" x14ac:dyDescent="0.25">
      <c r="A64" s="95"/>
      <c r="B64" s="268">
        <v>2021</v>
      </c>
      <c r="C64" s="269">
        <v>5</v>
      </c>
      <c r="D64" s="245">
        <v>105.34</v>
      </c>
    </row>
    <row r="65" spans="1:4" x14ac:dyDescent="0.25">
      <c r="A65" s="95"/>
      <c r="B65" s="268">
        <v>2021</v>
      </c>
      <c r="C65" s="269">
        <v>4</v>
      </c>
      <c r="D65" s="245">
        <v>105</v>
      </c>
    </row>
    <row r="66" spans="1:4" x14ac:dyDescent="0.25">
      <c r="A66" s="95"/>
      <c r="B66" s="268">
        <v>2021</v>
      </c>
      <c r="C66" s="269">
        <v>3</v>
      </c>
      <c r="D66" s="245">
        <v>104.89</v>
      </c>
    </row>
    <row r="67" spans="1:4" x14ac:dyDescent="0.25">
      <c r="A67" s="95"/>
      <c r="B67" s="268">
        <v>2021</v>
      </c>
      <c r="C67" s="269">
        <v>2</v>
      </c>
      <c r="D67" s="245">
        <v>104.24</v>
      </c>
    </row>
    <row r="68" spans="1:4" ht="15.75" thickBot="1" x14ac:dyDescent="0.3">
      <c r="A68" s="95"/>
      <c r="B68" s="270">
        <v>2021</v>
      </c>
      <c r="C68" s="271">
        <v>1</v>
      </c>
      <c r="D68" s="245">
        <v>104.24</v>
      </c>
    </row>
    <row r="69" spans="1:4" x14ac:dyDescent="0.25">
      <c r="A69" s="95"/>
      <c r="B69" s="267">
        <v>2020</v>
      </c>
      <c r="C69" s="244">
        <v>12</v>
      </c>
      <c r="D69" s="244">
        <v>103.94</v>
      </c>
    </row>
    <row r="70" spans="1:4" x14ac:dyDescent="0.25">
      <c r="A70" s="95"/>
      <c r="B70" s="268">
        <v>2020</v>
      </c>
      <c r="C70" s="269">
        <v>11</v>
      </c>
      <c r="D70" s="245">
        <v>103.93</v>
      </c>
    </row>
    <row r="71" spans="1:4" x14ac:dyDescent="0.25">
      <c r="A71" s="95"/>
      <c r="B71" s="268">
        <v>2020</v>
      </c>
      <c r="C71" s="269">
        <v>10</v>
      </c>
      <c r="D71" s="245">
        <v>103.85</v>
      </c>
    </row>
    <row r="72" spans="1:4" x14ac:dyDescent="0.25">
      <c r="A72" s="95"/>
      <c r="B72" s="268">
        <v>2020</v>
      </c>
      <c r="C72" s="269">
        <v>9</v>
      </c>
      <c r="D72" s="245">
        <v>103.81</v>
      </c>
    </row>
    <row r="73" spans="1:4" x14ac:dyDescent="0.25">
      <c r="A73" s="95"/>
      <c r="B73" s="268">
        <v>2020</v>
      </c>
      <c r="C73" s="269">
        <v>8</v>
      </c>
      <c r="D73" s="245">
        <v>103.95</v>
      </c>
    </row>
    <row r="74" spans="1:4" x14ac:dyDescent="0.25">
      <c r="A74" s="95"/>
      <c r="B74" s="268">
        <v>2020</v>
      </c>
      <c r="C74" s="269">
        <v>7</v>
      </c>
      <c r="D74" s="245">
        <v>104.04</v>
      </c>
    </row>
    <row r="75" spans="1:4" x14ac:dyDescent="0.25">
      <c r="A75" s="95"/>
      <c r="B75" s="268">
        <v>2020</v>
      </c>
      <c r="C75" s="269">
        <v>6</v>
      </c>
      <c r="D75" s="245">
        <v>104.44</v>
      </c>
    </row>
    <row r="76" spans="1:4" x14ac:dyDescent="0.25">
      <c r="A76" s="95"/>
      <c r="B76" s="268">
        <v>2020</v>
      </c>
      <c r="C76" s="269">
        <v>5</v>
      </c>
      <c r="D76" s="245">
        <v>104.34</v>
      </c>
    </row>
    <row r="77" spans="1:4" x14ac:dyDescent="0.25">
      <c r="A77" s="95"/>
      <c r="B77" s="268">
        <v>2020</v>
      </c>
      <c r="C77" s="269">
        <v>4</v>
      </c>
      <c r="D77" s="245">
        <v>103.8</v>
      </c>
    </row>
    <row r="78" spans="1:4" x14ac:dyDescent="0.25">
      <c r="A78" s="95"/>
      <c r="B78" s="268">
        <v>2020</v>
      </c>
      <c r="C78" s="269">
        <v>3</v>
      </c>
      <c r="D78" s="245">
        <v>103.75</v>
      </c>
    </row>
    <row r="79" spans="1:4" x14ac:dyDescent="0.25">
      <c r="A79" s="95"/>
      <c r="B79" s="268">
        <v>2020</v>
      </c>
      <c r="C79" s="269">
        <v>2</v>
      </c>
      <c r="D79" s="245">
        <v>103.86</v>
      </c>
    </row>
    <row r="80" spans="1:4" ht="15.75" thickBot="1" x14ac:dyDescent="0.3">
      <c r="A80" s="95"/>
      <c r="B80" s="270">
        <v>2020</v>
      </c>
      <c r="C80" s="271">
        <v>1</v>
      </c>
      <c r="D80" s="245">
        <v>104.09</v>
      </c>
    </row>
    <row r="81" spans="1:4" x14ac:dyDescent="0.25">
      <c r="A81" s="95"/>
      <c r="B81" s="267">
        <v>2019</v>
      </c>
      <c r="C81" s="244">
        <v>12</v>
      </c>
      <c r="D81" s="244">
        <v>104.39</v>
      </c>
    </row>
    <row r="82" spans="1:4" x14ac:dyDescent="0.25">
      <c r="A82" s="95"/>
      <c r="B82" s="268">
        <v>2019</v>
      </c>
      <c r="C82" s="269">
        <v>11</v>
      </c>
      <c r="D82" s="245">
        <v>103.92</v>
      </c>
    </row>
    <row r="83" spans="1:4" x14ac:dyDescent="0.25">
      <c r="A83" s="95"/>
      <c r="B83" s="268">
        <v>2019</v>
      </c>
      <c r="C83" s="269">
        <v>10</v>
      </c>
      <c r="D83" s="245">
        <v>103.99</v>
      </c>
    </row>
    <row r="84" spans="1:4" x14ac:dyDescent="0.25">
      <c r="A84" s="95"/>
      <c r="B84" s="268">
        <v>2019</v>
      </c>
      <c r="C84" s="269">
        <v>9</v>
      </c>
      <c r="D84" s="245">
        <v>104.04</v>
      </c>
    </row>
    <row r="85" spans="1:4" x14ac:dyDescent="0.25">
      <c r="A85" s="95"/>
      <c r="B85" s="268">
        <v>2019</v>
      </c>
      <c r="C85" s="269">
        <v>8</v>
      </c>
      <c r="D85" s="245">
        <v>104.4</v>
      </c>
    </row>
    <row r="86" spans="1:4" x14ac:dyDescent="0.25">
      <c r="A86" s="95"/>
      <c r="B86" s="268">
        <v>2019</v>
      </c>
      <c r="C86" s="269">
        <v>7</v>
      </c>
      <c r="D86" s="245">
        <v>103.91</v>
      </c>
    </row>
    <row r="87" spans="1:4" x14ac:dyDescent="0.25">
      <c r="A87" s="95"/>
      <c r="B87" s="268">
        <v>2019</v>
      </c>
      <c r="C87" s="269">
        <v>6</v>
      </c>
      <c r="D87" s="245">
        <v>104.12</v>
      </c>
    </row>
    <row r="88" spans="1:4" x14ac:dyDescent="0.25">
      <c r="A88" s="95"/>
      <c r="B88" s="268">
        <v>2019</v>
      </c>
      <c r="C88" s="269">
        <v>5</v>
      </c>
      <c r="D88" s="245">
        <v>103.86</v>
      </c>
    </row>
    <row r="89" spans="1:4" x14ac:dyDescent="0.25">
      <c r="A89" s="95"/>
      <c r="B89" s="268">
        <v>2019</v>
      </c>
      <c r="C89" s="269">
        <v>4</v>
      </c>
      <c r="D89" s="245">
        <v>103.76</v>
      </c>
    </row>
    <row r="90" spans="1:4" x14ac:dyDescent="0.25">
      <c r="A90" s="95"/>
      <c r="B90" s="268">
        <v>2019</v>
      </c>
      <c r="C90" s="269">
        <v>3</v>
      </c>
      <c r="D90" s="245">
        <v>103.43</v>
      </c>
    </row>
    <row r="91" spans="1:4" x14ac:dyDescent="0.25">
      <c r="A91" s="95"/>
      <c r="B91" s="268">
        <v>2019</v>
      </c>
      <c r="C91" s="269">
        <v>2</v>
      </c>
      <c r="D91" s="245">
        <v>102.73</v>
      </c>
    </row>
    <row r="92" spans="1:4" ht="15.75" thickBot="1" x14ac:dyDescent="0.3">
      <c r="A92" s="95"/>
      <c r="B92" s="270">
        <v>2019</v>
      </c>
      <c r="C92" s="271">
        <v>1</v>
      </c>
      <c r="D92" s="245">
        <v>102.67</v>
      </c>
    </row>
    <row r="93" spans="1:4" x14ac:dyDescent="0.25">
      <c r="A93" s="95"/>
      <c r="B93" s="267">
        <v>2018</v>
      </c>
      <c r="C93" s="244">
        <v>12</v>
      </c>
      <c r="D93" s="244">
        <v>103.16</v>
      </c>
    </row>
    <row r="94" spans="1:4" x14ac:dyDescent="0.25">
      <c r="A94" s="95"/>
      <c r="B94" s="268">
        <v>2018</v>
      </c>
      <c r="C94" s="269">
        <v>11</v>
      </c>
      <c r="D94" s="245">
        <v>103.14</v>
      </c>
    </row>
    <row r="95" spans="1:4" x14ac:dyDescent="0.25">
      <c r="A95" s="95"/>
      <c r="B95" s="268">
        <v>2018</v>
      </c>
      <c r="C95" s="269">
        <v>10</v>
      </c>
      <c r="D95" s="245">
        <v>103.37</v>
      </c>
    </row>
    <row r="96" spans="1:4" x14ac:dyDescent="0.25">
      <c r="A96" s="95"/>
      <c r="B96" s="268">
        <v>2018</v>
      </c>
      <c r="C96" s="269">
        <v>9</v>
      </c>
      <c r="D96" s="245">
        <v>103.25</v>
      </c>
    </row>
    <row r="97" spans="1:4" x14ac:dyDescent="0.25">
      <c r="A97" s="95"/>
      <c r="B97" s="268">
        <v>2018</v>
      </c>
      <c r="C97" s="269">
        <v>8</v>
      </c>
      <c r="D97" s="245">
        <v>103.48</v>
      </c>
    </row>
    <row r="98" spans="1:4" x14ac:dyDescent="0.25">
      <c r="A98" s="95"/>
      <c r="B98" s="268">
        <v>2018</v>
      </c>
      <c r="C98" s="269">
        <v>7</v>
      </c>
      <c r="D98" s="245">
        <v>102.96</v>
      </c>
    </row>
    <row r="99" spans="1:4" x14ac:dyDescent="0.25">
      <c r="A99" s="95"/>
      <c r="B99" s="268">
        <v>2018</v>
      </c>
      <c r="C99" s="269">
        <v>6</v>
      </c>
      <c r="D99" s="245">
        <v>103.07</v>
      </c>
    </row>
    <row r="100" spans="1:4" x14ac:dyDescent="0.25">
      <c r="A100" s="95"/>
      <c r="B100" s="268">
        <v>2018</v>
      </c>
      <c r="C100" s="269">
        <v>5</v>
      </c>
      <c r="D100" s="245">
        <v>103.06</v>
      </c>
    </row>
    <row r="101" spans="1:4" x14ac:dyDescent="0.25">
      <c r="A101" s="95"/>
      <c r="B101" s="268">
        <v>2018</v>
      </c>
      <c r="C101" s="269">
        <v>4</v>
      </c>
      <c r="D101" s="245">
        <v>102.59</v>
      </c>
    </row>
    <row r="102" spans="1:4" x14ac:dyDescent="0.25">
      <c r="A102" s="95"/>
      <c r="B102" s="268">
        <v>2018</v>
      </c>
      <c r="C102" s="269">
        <v>3</v>
      </c>
      <c r="D102" s="245">
        <v>102.42</v>
      </c>
    </row>
    <row r="103" spans="1:4" x14ac:dyDescent="0.25">
      <c r="A103" s="95"/>
      <c r="B103" s="268">
        <v>2018</v>
      </c>
      <c r="C103" s="269">
        <v>2</v>
      </c>
      <c r="D103" s="245">
        <v>101.64</v>
      </c>
    </row>
    <row r="104" spans="1:4" ht="15.75" thickBot="1" x14ac:dyDescent="0.3">
      <c r="A104" s="95"/>
      <c r="B104" s="270">
        <v>2018</v>
      </c>
      <c r="C104" s="271">
        <v>1</v>
      </c>
      <c r="D104" s="245">
        <v>101.67</v>
      </c>
    </row>
    <row r="105" spans="1:4" x14ac:dyDescent="0.25">
      <c r="A105" s="95"/>
      <c r="B105" s="267">
        <v>2017</v>
      </c>
      <c r="C105" s="244">
        <v>12</v>
      </c>
      <c r="D105" s="244">
        <v>101.76</v>
      </c>
    </row>
    <row r="106" spans="1:4" x14ac:dyDescent="0.25">
      <c r="A106" s="95"/>
      <c r="B106" s="268">
        <v>2017</v>
      </c>
      <c r="C106" s="269">
        <v>11</v>
      </c>
      <c r="D106" s="245">
        <v>101.47</v>
      </c>
    </row>
    <row r="107" spans="1:4" x14ac:dyDescent="0.25">
      <c r="A107" s="95"/>
      <c r="B107" s="268">
        <v>2017</v>
      </c>
      <c r="C107" s="269">
        <v>10</v>
      </c>
      <c r="D107" s="245">
        <v>101.4</v>
      </c>
    </row>
    <row r="108" spans="1:4" x14ac:dyDescent="0.25">
      <c r="A108" s="95"/>
      <c r="B108" s="268">
        <v>2017</v>
      </c>
      <c r="C108" s="269">
        <v>9</v>
      </c>
      <c r="D108" s="245">
        <v>101.3</v>
      </c>
    </row>
    <row r="109" spans="1:4" x14ac:dyDescent="0.25">
      <c r="A109" s="95"/>
      <c r="B109" s="268">
        <v>2017</v>
      </c>
      <c r="C109" s="269">
        <v>8</v>
      </c>
      <c r="D109" s="245">
        <v>101.47</v>
      </c>
    </row>
    <row r="110" spans="1:4" x14ac:dyDescent="0.25">
      <c r="A110" s="95"/>
      <c r="B110" s="268">
        <v>2017</v>
      </c>
      <c r="C110" s="269">
        <v>7</v>
      </c>
      <c r="D110" s="245">
        <v>100.94</v>
      </c>
    </row>
    <row r="111" spans="1:4" x14ac:dyDescent="0.25">
      <c r="A111" s="95"/>
      <c r="B111" s="268">
        <v>2017</v>
      </c>
      <c r="C111" s="269">
        <v>6</v>
      </c>
      <c r="D111" s="245">
        <v>101.3</v>
      </c>
    </row>
    <row r="112" spans="1:4" x14ac:dyDescent="0.25">
      <c r="A112" s="95"/>
      <c r="B112" s="268">
        <v>2017</v>
      </c>
      <c r="C112" s="269">
        <v>5</v>
      </c>
      <c r="D112" s="245">
        <v>101.28</v>
      </c>
    </row>
    <row r="113" spans="1:6" x14ac:dyDescent="0.25">
      <c r="A113" s="95"/>
      <c r="B113" s="268">
        <v>2017</v>
      </c>
      <c r="C113" s="269">
        <v>4</v>
      </c>
      <c r="D113" s="245">
        <v>101.23</v>
      </c>
    </row>
    <row r="114" spans="1:6" x14ac:dyDescent="0.25">
      <c r="A114" s="95"/>
      <c r="B114" s="268">
        <v>2017</v>
      </c>
      <c r="C114" s="269">
        <v>3</v>
      </c>
      <c r="D114" s="245">
        <v>101.14</v>
      </c>
    </row>
    <row r="115" spans="1:6" x14ac:dyDescent="0.25">
      <c r="A115" s="95"/>
      <c r="B115" s="268">
        <v>2017</v>
      </c>
      <c r="C115" s="269">
        <v>2</v>
      </c>
      <c r="D115" s="245">
        <v>100.52</v>
      </c>
    </row>
    <row r="116" spans="1:6" ht="15.75" thickBot="1" x14ac:dyDescent="0.3">
      <c r="A116" s="95"/>
      <c r="B116" s="270">
        <v>2017</v>
      </c>
      <c r="C116" s="271">
        <v>1</v>
      </c>
      <c r="D116" s="245">
        <v>100.41</v>
      </c>
    </row>
    <row r="117" spans="1:6" x14ac:dyDescent="0.25">
      <c r="A117" s="95"/>
      <c r="B117" s="267">
        <v>2016</v>
      </c>
      <c r="C117" s="244">
        <v>12</v>
      </c>
      <c r="D117" s="244">
        <v>100.66</v>
      </c>
    </row>
    <row r="118" spans="1:6" x14ac:dyDescent="0.25">
      <c r="A118" s="95"/>
      <c r="B118" s="268">
        <v>2016</v>
      </c>
      <c r="C118" s="269">
        <v>11</v>
      </c>
      <c r="D118" s="269">
        <v>100.36</v>
      </c>
    </row>
    <row r="119" spans="1:6" x14ac:dyDescent="0.25">
      <c r="A119" s="95"/>
      <c r="B119" s="268">
        <v>2016</v>
      </c>
      <c r="C119" s="269">
        <v>10</v>
      </c>
      <c r="D119" s="269">
        <v>100.37</v>
      </c>
    </row>
    <row r="120" spans="1:6" x14ac:dyDescent="0.25">
      <c r="A120" s="95"/>
      <c r="B120" s="268">
        <v>2016</v>
      </c>
      <c r="C120" s="269">
        <v>9</v>
      </c>
      <c r="D120" s="269">
        <v>100.35</v>
      </c>
    </row>
    <row r="121" spans="1:6" x14ac:dyDescent="0.25">
      <c r="A121" s="95"/>
      <c r="B121" s="268">
        <v>2016</v>
      </c>
      <c r="C121" s="269">
        <v>8</v>
      </c>
      <c r="D121" s="269">
        <v>100.59</v>
      </c>
    </row>
    <row r="122" spans="1:6" x14ac:dyDescent="0.25">
      <c r="A122" s="95"/>
      <c r="B122" s="268">
        <v>2016</v>
      </c>
      <c r="C122" s="269">
        <v>7</v>
      </c>
      <c r="D122" s="269">
        <v>100.26</v>
      </c>
    </row>
    <row r="123" spans="1:6" x14ac:dyDescent="0.25">
      <c r="A123" s="95"/>
      <c r="B123" s="268">
        <v>2016</v>
      </c>
      <c r="C123" s="269">
        <v>6</v>
      </c>
      <c r="D123" s="269">
        <v>100.64</v>
      </c>
    </row>
    <row r="124" spans="1:6" x14ac:dyDescent="0.25">
      <c r="A124" s="95"/>
      <c r="B124" s="268">
        <v>2016</v>
      </c>
      <c r="C124" s="269">
        <v>5</v>
      </c>
      <c r="D124" s="269">
        <v>100.51</v>
      </c>
    </row>
    <row r="125" spans="1:6" x14ac:dyDescent="0.25">
      <c r="A125" s="95"/>
      <c r="B125" s="268">
        <v>2016</v>
      </c>
      <c r="C125" s="269">
        <v>4</v>
      </c>
      <c r="D125" s="269">
        <v>100.09</v>
      </c>
    </row>
    <row r="126" spans="1:6" x14ac:dyDescent="0.25">
      <c r="A126" s="95"/>
      <c r="B126" s="268">
        <v>2016</v>
      </c>
      <c r="C126" s="269">
        <v>3</v>
      </c>
      <c r="D126" s="269">
        <v>100.02</v>
      </c>
      <c r="E126" s="2"/>
      <c r="F126" s="95"/>
    </row>
    <row r="127" spans="1:6" x14ac:dyDescent="0.25">
      <c r="A127" s="95"/>
      <c r="B127" s="268">
        <v>2016</v>
      </c>
      <c r="C127" s="269">
        <v>2</v>
      </c>
      <c r="D127" s="269">
        <v>99.32</v>
      </c>
    </row>
    <row r="128" spans="1:6" ht="15.75" thickBot="1" x14ac:dyDescent="0.3">
      <c r="A128" s="95"/>
      <c r="B128" s="270">
        <v>2016</v>
      </c>
      <c r="C128" s="271">
        <v>1</v>
      </c>
      <c r="D128" s="271">
        <v>99.07</v>
      </c>
    </row>
    <row r="129" spans="2:4" x14ac:dyDescent="0.25">
      <c r="B129" s="267">
        <v>2015</v>
      </c>
      <c r="C129" s="244">
        <v>12</v>
      </c>
      <c r="D129" s="272">
        <v>100.04</v>
      </c>
    </row>
    <row r="130" spans="2:4" x14ac:dyDescent="0.25">
      <c r="B130" s="268">
        <v>2015</v>
      </c>
      <c r="C130" s="269">
        <v>11</v>
      </c>
      <c r="D130" s="245">
        <v>99.81</v>
      </c>
    </row>
    <row r="131" spans="2:4" x14ac:dyDescent="0.25">
      <c r="B131" s="268">
        <v>2015</v>
      </c>
      <c r="C131" s="269">
        <v>10</v>
      </c>
      <c r="D131" s="245">
        <v>100.01</v>
      </c>
    </row>
    <row r="132" spans="2:4" x14ac:dyDescent="0.25">
      <c r="B132" s="268">
        <v>2015</v>
      </c>
      <c r="C132" s="269">
        <v>9</v>
      </c>
      <c r="D132" s="245">
        <v>99.95</v>
      </c>
    </row>
    <row r="133" spans="2:4" x14ac:dyDescent="0.25">
      <c r="B133" s="268">
        <v>2015</v>
      </c>
      <c r="C133" s="269">
        <v>8</v>
      </c>
      <c r="D133" s="245">
        <v>100.36</v>
      </c>
    </row>
    <row r="134" spans="2:4" x14ac:dyDescent="0.25">
      <c r="B134" s="268">
        <v>2015</v>
      </c>
      <c r="C134" s="269">
        <v>7</v>
      </c>
      <c r="D134" s="245">
        <v>100.03</v>
      </c>
    </row>
    <row r="135" spans="2:4" x14ac:dyDescent="0.25">
      <c r="B135" s="268">
        <v>2015</v>
      </c>
      <c r="C135" s="269">
        <v>6</v>
      </c>
      <c r="D135" s="245">
        <v>100.45</v>
      </c>
    </row>
    <row r="136" spans="2:4" x14ac:dyDescent="0.25">
      <c r="B136" s="268">
        <v>2015</v>
      </c>
      <c r="C136" s="269">
        <v>5</v>
      </c>
      <c r="D136" s="245">
        <v>100.53</v>
      </c>
    </row>
    <row r="137" spans="2:4" x14ac:dyDescent="0.25">
      <c r="B137" s="268">
        <v>2015</v>
      </c>
      <c r="C137" s="269">
        <v>4</v>
      </c>
      <c r="D137" s="245">
        <v>100.29</v>
      </c>
    </row>
    <row r="138" spans="2:4" x14ac:dyDescent="0.25">
      <c r="B138" s="268">
        <v>2015</v>
      </c>
      <c r="C138" s="269">
        <v>3</v>
      </c>
      <c r="D138" s="245">
        <v>100.17</v>
      </c>
    </row>
    <row r="139" spans="2:4" x14ac:dyDescent="0.25">
      <c r="B139" s="268">
        <v>2015</v>
      </c>
      <c r="C139" s="269">
        <v>2</v>
      </c>
      <c r="D139" s="245">
        <v>99.51</v>
      </c>
    </row>
    <row r="140" spans="2:4" ht="15.75" thickBot="1" x14ac:dyDescent="0.3">
      <c r="B140" s="270">
        <v>2015</v>
      </c>
      <c r="C140" s="271">
        <v>1</v>
      </c>
      <c r="D140" s="273">
        <v>98.85</v>
      </c>
    </row>
    <row r="141" spans="2:4" x14ac:dyDescent="0.25">
      <c r="B141" s="267">
        <v>2014</v>
      </c>
      <c r="C141" s="244">
        <v>12</v>
      </c>
      <c r="D141" s="272">
        <v>99.86</v>
      </c>
    </row>
    <row r="142" spans="2:4" x14ac:dyDescent="0.25">
      <c r="B142" s="268">
        <v>2014</v>
      </c>
      <c r="C142" s="269">
        <v>11</v>
      </c>
      <c r="D142" s="245">
        <v>99.78</v>
      </c>
    </row>
    <row r="143" spans="2:4" x14ac:dyDescent="0.25">
      <c r="B143" s="268">
        <v>2014</v>
      </c>
      <c r="C143" s="269">
        <v>10</v>
      </c>
      <c r="D143" s="245">
        <v>99.95</v>
      </c>
    </row>
    <row r="144" spans="2:4" x14ac:dyDescent="0.25">
      <c r="B144" s="268">
        <v>2014</v>
      </c>
      <c r="C144" s="269">
        <v>9</v>
      </c>
      <c r="D144" s="245">
        <v>99.92</v>
      </c>
    </row>
    <row r="145" spans="2:4" x14ac:dyDescent="0.25">
      <c r="B145" s="268">
        <v>2014</v>
      </c>
      <c r="C145" s="269">
        <v>8</v>
      </c>
      <c r="D145" s="245">
        <v>100.31</v>
      </c>
    </row>
    <row r="146" spans="2:4" x14ac:dyDescent="0.25">
      <c r="B146" s="268">
        <v>2014</v>
      </c>
      <c r="C146" s="269">
        <v>7</v>
      </c>
      <c r="D146" s="245">
        <v>99.87</v>
      </c>
    </row>
    <row r="147" spans="2:4" x14ac:dyDescent="0.25">
      <c r="B147" s="268">
        <v>2014</v>
      </c>
      <c r="C147" s="269">
        <v>6</v>
      </c>
      <c r="D147" s="245">
        <v>100.19</v>
      </c>
    </row>
    <row r="148" spans="2:4" x14ac:dyDescent="0.25">
      <c r="B148" s="268">
        <v>2014</v>
      </c>
      <c r="C148" s="269">
        <v>5</v>
      </c>
      <c r="D148" s="245">
        <v>100.23</v>
      </c>
    </row>
    <row r="149" spans="2:4" x14ac:dyDescent="0.25">
      <c r="B149" s="268">
        <v>2014</v>
      </c>
      <c r="C149" s="269">
        <v>4</v>
      </c>
      <c r="D149" s="245">
        <v>100.2</v>
      </c>
    </row>
    <row r="150" spans="2:4" x14ac:dyDescent="0.25">
      <c r="B150" s="268">
        <v>2014</v>
      </c>
      <c r="C150" s="269">
        <v>3</v>
      </c>
      <c r="D150" s="245">
        <v>100.25</v>
      </c>
    </row>
    <row r="151" spans="2:4" x14ac:dyDescent="0.25">
      <c r="B151" s="268">
        <v>2014</v>
      </c>
      <c r="C151" s="269">
        <v>2</v>
      </c>
      <c r="D151" s="245">
        <v>99.79</v>
      </c>
    </row>
    <row r="152" spans="2:4" ht="15.75" thickBot="1" x14ac:dyDescent="0.3">
      <c r="B152" s="270">
        <v>2014</v>
      </c>
      <c r="C152" s="271">
        <v>1</v>
      </c>
      <c r="D152" s="273">
        <v>99.26</v>
      </c>
    </row>
    <row r="153" spans="2:4" x14ac:dyDescent="0.25">
      <c r="B153" s="267">
        <v>2013</v>
      </c>
      <c r="C153" s="244">
        <v>12</v>
      </c>
      <c r="D153" s="272">
        <v>99.87</v>
      </c>
    </row>
    <row r="154" spans="2:4" x14ac:dyDescent="0.25">
      <c r="B154" s="268">
        <v>2013</v>
      </c>
      <c r="C154" s="269">
        <v>11</v>
      </c>
      <c r="D154" s="245">
        <v>99.52</v>
      </c>
    </row>
    <row r="155" spans="2:4" x14ac:dyDescent="0.25">
      <c r="B155" s="268">
        <v>2013</v>
      </c>
      <c r="C155" s="269">
        <v>10</v>
      </c>
      <c r="D155" s="245">
        <v>99.57</v>
      </c>
    </row>
    <row r="156" spans="2:4" x14ac:dyDescent="0.25">
      <c r="B156" s="268">
        <v>2013</v>
      </c>
      <c r="C156" s="269">
        <v>9</v>
      </c>
      <c r="D156" s="245">
        <v>99.7</v>
      </c>
    </row>
    <row r="157" spans="2:4" x14ac:dyDescent="0.25">
      <c r="B157" s="268">
        <v>2013</v>
      </c>
      <c r="C157" s="269">
        <v>8</v>
      </c>
      <c r="D157" s="245">
        <v>99.94</v>
      </c>
    </row>
    <row r="158" spans="2:4" x14ac:dyDescent="0.25">
      <c r="B158" s="268">
        <v>2013</v>
      </c>
      <c r="C158" s="269">
        <v>7</v>
      </c>
      <c r="D158" s="245">
        <v>99.5</v>
      </c>
    </row>
    <row r="159" spans="2:4" x14ac:dyDescent="0.25">
      <c r="B159" s="268">
        <v>2013</v>
      </c>
      <c r="C159" s="269">
        <v>6</v>
      </c>
      <c r="D159" s="245">
        <v>99.84</v>
      </c>
    </row>
    <row r="160" spans="2:4" x14ac:dyDescent="0.25">
      <c r="B160" s="268">
        <v>2013</v>
      </c>
      <c r="C160" s="269">
        <v>5</v>
      </c>
      <c r="D160" s="245">
        <v>99.67</v>
      </c>
    </row>
    <row r="161" spans="2:4" x14ac:dyDescent="0.25">
      <c r="B161" s="268">
        <v>2013</v>
      </c>
      <c r="C161" s="269">
        <v>4</v>
      </c>
      <c r="D161" s="245">
        <v>99.62</v>
      </c>
    </row>
    <row r="162" spans="2:4" x14ac:dyDescent="0.25">
      <c r="B162" s="268">
        <v>2013</v>
      </c>
      <c r="C162" s="269">
        <v>3</v>
      </c>
      <c r="D162" s="245">
        <v>99.77</v>
      </c>
    </row>
    <row r="163" spans="2:4" x14ac:dyDescent="0.25">
      <c r="B163" s="268">
        <v>2013</v>
      </c>
      <c r="C163" s="269">
        <v>2</v>
      </c>
      <c r="D163" s="245">
        <v>99</v>
      </c>
    </row>
    <row r="164" spans="2:4" ht="15.75" thickBot="1" x14ac:dyDescent="0.3">
      <c r="B164" s="270">
        <v>2013</v>
      </c>
      <c r="C164" s="271">
        <v>1</v>
      </c>
      <c r="D164" s="273">
        <v>98.71</v>
      </c>
    </row>
    <row r="165" spans="2:4" x14ac:dyDescent="0.25">
      <c r="B165" s="267">
        <v>2012</v>
      </c>
      <c r="C165" s="244">
        <v>12</v>
      </c>
      <c r="D165" s="272">
        <v>99.23</v>
      </c>
    </row>
    <row r="166" spans="2:4" x14ac:dyDescent="0.25">
      <c r="B166" s="268">
        <v>2012</v>
      </c>
      <c r="C166" s="269">
        <v>11</v>
      </c>
      <c r="D166" s="245">
        <v>98.91</v>
      </c>
    </row>
    <row r="167" spans="2:4" x14ac:dyDescent="0.25">
      <c r="B167" s="268">
        <v>2012</v>
      </c>
      <c r="C167" s="269">
        <v>10</v>
      </c>
      <c r="D167" s="245">
        <v>99.07</v>
      </c>
    </row>
    <row r="168" spans="2:4" x14ac:dyDescent="0.25">
      <c r="B168" s="268">
        <v>2012</v>
      </c>
      <c r="C168" s="269">
        <v>9</v>
      </c>
      <c r="D168" s="245">
        <v>99.01</v>
      </c>
    </row>
    <row r="169" spans="2:4" x14ac:dyDescent="0.25">
      <c r="B169" s="268">
        <v>2012</v>
      </c>
      <c r="C169" s="269">
        <v>8</v>
      </c>
      <c r="D169" s="245">
        <v>99.27</v>
      </c>
    </row>
    <row r="170" spans="2:4" x14ac:dyDescent="0.25">
      <c r="B170" s="268">
        <v>2012</v>
      </c>
      <c r="C170" s="269">
        <v>7</v>
      </c>
      <c r="D170" s="245">
        <v>98.6</v>
      </c>
    </row>
    <row r="171" spans="2:4" x14ac:dyDescent="0.25">
      <c r="B171" s="268">
        <v>2012</v>
      </c>
      <c r="C171" s="269">
        <v>6</v>
      </c>
      <c r="D171" s="245">
        <v>99.04</v>
      </c>
    </row>
    <row r="172" spans="2:4" x14ac:dyDescent="0.25">
      <c r="B172" s="268">
        <v>2012</v>
      </c>
      <c r="C172" s="269">
        <v>5</v>
      </c>
      <c r="D172" s="245">
        <v>99</v>
      </c>
    </row>
    <row r="173" spans="2:4" x14ac:dyDescent="0.25">
      <c r="B173" s="268">
        <v>2012</v>
      </c>
      <c r="C173" s="269">
        <v>4</v>
      </c>
      <c r="D173" s="245">
        <v>99.06</v>
      </c>
    </row>
    <row r="174" spans="2:4" x14ac:dyDescent="0.25">
      <c r="B174" s="268">
        <v>2012</v>
      </c>
      <c r="C174" s="269">
        <v>3</v>
      </c>
      <c r="D174" s="245">
        <v>98.93</v>
      </c>
    </row>
    <row r="175" spans="2:4" x14ac:dyDescent="0.25">
      <c r="B175" s="268">
        <v>2012</v>
      </c>
      <c r="C175" s="269">
        <v>2</v>
      </c>
      <c r="D175" s="245">
        <v>98.09</v>
      </c>
    </row>
    <row r="176" spans="2:4" ht="15.75" thickBot="1" x14ac:dyDescent="0.3">
      <c r="B176" s="270">
        <v>2012</v>
      </c>
      <c r="C176" s="271">
        <v>1</v>
      </c>
      <c r="D176" s="273">
        <v>97.68</v>
      </c>
    </row>
    <row r="177" spans="2:4" x14ac:dyDescent="0.25">
      <c r="B177" s="267">
        <v>2011</v>
      </c>
      <c r="C177" s="244">
        <v>12</v>
      </c>
      <c r="D177" s="272">
        <v>98.04</v>
      </c>
    </row>
    <row r="178" spans="2:4" x14ac:dyDescent="0.25">
      <c r="B178" s="268">
        <v>2011</v>
      </c>
      <c r="C178" s="269">
        <v>11</v>
      </c>
      <c r="D178" s="245">
        <v>97.64</v>
      </c>
    </row>
    <row r="179" spans="2:4" x14ac:dyDescent="0.25">
      <c r="B179" s="268">
        <v>2011</v>
      </c>
      <c r="C179" s="269">
        <v>10</v>
      </c>
      <c r="D179" s="245">
        <v>97.42</v>
      </c>
    </row>
    <row r="180" spans="2:4" x14ac:dyDescent="0.25">
      <c r="B180" s="268">
        <v>2011</v>
      </c>
      <c r="C180" s="269">
        <v>9</v>
      </c>
      <c r="D180" s="245">
        <v>97.23</v>
      </c>
    </row>
    <row r="181" spans="2:4" x14ac:dyDescent="0.25">
      <c r="B181" s="268">
        <v>2011</v>
      </c>
      <c r="C181" s="269">
        <v>8</v>
      </c>
      <c r="D181" s="245">
        <v>97.31</v>
      </c>
    </row>
    <row r="182" spans="2:4" x14ac:dyDescent="0.25">
      <c r="B182" s="268">
        <v>2011</v>
      </c>
      <c r="C182" s="269">
        <v>7</v>
      </c>
      <c r="D182" s="245">
        <v>96.79</v>
      </c>
    </row>
    <row r="183" spans="2:4" x14ac:dyDescent="0.25">
      <c r="B183" s="268">
        <v>2011</v>
      </c>
      <c r="C183" s="269">
        <v>6</v>
      </c>
      <c r="D183" s="245">
        <v>97.23</v>
      </c>
    </row>
    <row r="184" spans="2:4" x14ac:dyDescent="0.25">
      <c r="B184" s="268">
        <v>2011</v>
      </c>
      <c r="C184" s="269">
        <v>5</v>
      </c>
      <c r="D184" s="245">
        <v>97.16</v>
      </c>
    </row>
    <row r="185" spans="2:4" x14ac:dyDescent="0.25">
      <c r="B185" s="268">
        <v>2011</v>
      </c>
      <c r="C185" s="269">
        <v>4</v>
      </c>
      <c r="D185" s="245">
        <v>97.1</v>
      </c>
    </row>
    <row r="186" spans="2:4" x14ac:dyDescent="0.25">
      <c r="B186" s="268">
        <v>2011</v>
      </c>
      <c r="C186" s="269">
        <v>3</v>
      </c>
      <c r="D186" s="245">
        <v>96.76</v>
      </c>
    </row>
    <row r="187" spans="2:4" x14ac:dyDescent="0.25">
      <c r="B187" s="268">
        <v>2011</v>
      </c>
      <c r="C187" s="269">
        <v>2</v>
      </c>
      <c r="D187" s="245">
        <v>95.97</v>
      </c>
    </row>
    <row r="188" spans="2:4" ht="15.75" thickBot="1" x14ac:dyDescent="0.3">
      <c r="B188" s="270">
        <v>2011</v>
      </c>
      <c r="C188" s="271">
        <v>1</v>
      </c>
      <c r="D188" s="273">
        <v>95.51</v>
      </c>
    </row>
  </sheetData>
  <mergeCells count="2">
    <mergeCell ref="B6:D6"/>
    <mergeCell ref="B7:D7"/>
  </mergeCells>
  <hyperlinks>
    <hyperlink ref="D8" r:id="rId1" xr:uid="{00000000-0004-0000-0200-000000000000}"/>
  </hyperlinks>
  <pageMargins left="0.7" right="0.7" top="0.75" bottom="0.75" header="0.3" footer="0.3"/>
  <pageSetup paperSize="9" orientation="portrait" r:id="rId2"/>
  <ignoredErrors>
    <ignoredError sqref="G7:H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I49"/>
  <sheetViews>
    <sheetView topLeftCell="A13" zoomScale="85" zoomScaleNormal="85" workbookViewId="0">
      <selection activeCell="C49" sqref="C49"/>
    </sheetView>
  </sheetViews>
  <sheetFormatPr baseColWidth="10" defaultColWidth="11.28515625" defaultRowHeight="15" x14ac:dyDescent="0.25"/>
  <cols>
    <col min="2" max="2" width="92.7109375" customWidth="1"/>
    <col min="3" max="3" width="11.85546875" bestFit="1" customWidth="1"/>
    <col min="4" max="4" width="12.140625" bestFit="1" customWidth="1"/>
    <col min="5" max="6" width="12" bestFit="1" customWidth="1"/>
    <col min="8" max="8" width="18.28515625" customWidth="1"/>
  </cols>
  <sheetData>
    <row r="1" spans="1:8" ht="15.75" x14ac:dyDescent="0.3">
      <c r="B1" s="72" t="s">
        <v>81</v>
      </c>
      <c r="C1" s="79"/>
      <c r="D1" s="76"/>
      <c r="E1" s="83"/>
    </row>
    <row r="2" spans="1:8" ht="15.75" x14ac:dyDescent="0.3">
      <c r="B2" s="70" t="s">
        <v>82</v>
      </c>
      <c r="C2" s="80"/>
      <c r="D2" s="73"/>
      <c r="E2" s="74"/>
    </row>
    <row r="3" spans="1:8" ht="15.75" x14ac:dyDescent="0.3">
      <c r="B3" s="71" t="s">
        <v>83</v>
      </c>
      <c r="C3" s="81"/>
      <c r="D3" s="77"/>
      <c r="E3" s="84"/>
    </row>
    <row r="4" spans="1:8" ht="15.75" thickBot="1" x14ac:dyDescent="0.3"/>
    <row r="5" spans="1:8" ht="15.75" thickBot="1" x14ac:dyDescent="0.3">
      <c r="A5" s="119"/>
      <c r="B5" s="116" t="s">
        <v>93</v>
      </c>
      <c r="C5" s="116">
        <v>2021</v>
      </c>
      <c r="D5" s="116">
        <v>2022</v>
      </c>
      <c r="E5" s="116">
        <v>2023</v>
      </c>
      <c r="F5" s="116">
        <v>2024</v>
      </c>
      <c r="G5" s="1"/>
      <c r="H5" s="508"/>
    </row>
    <row r="6" spans="1:8" ht="15.75" thickBot="1" x14ac:dyDescent="0.3">
      <c r="A6" s="617" t="s">
        <v>94</v>
      </c>
      <c r="B6" s="326" t="s">
        <v>105</v>
      </c>
      <c r="C6" s="324"/>
      <c r="D6" s="324"/>
      <c r="E6" s="324"/>
      <c r="F6" s="325"/>
      <c r="G6" s="1"/>
    </row>
    <row r="7" spans="1:8" ht="15.6" customHeight="1" thickBot="1" x14ac:dyDescent="0.35">
      <c r="A7" s="617"/>
      <c r="B7" s="399" t="s">
        <v>53</v>
      </c>
      <c r="C7" s="416">
        <f>SUM(C9:C9)</f>
        <v>1479.7933324913499</v>
      </c>
      <c r="D7" s="576">
        <f>SUM(D8:D9)</f>
        <v>1711.6448802387961</v>
      </c>
      <c r="E7" s="397">
        <f>SUM(E8:E9)</f>
        <v>1823.6871737768365</v>
      </c>
      <c r="F7" s="401">
        <f>SUM(F8:F9)</f>
        <v>1913.1562999108671</v>
      </c>
      <c r="G7" s="1"/>
    </row>
    <row r="8" spans="1:8" ht="16.5" thickBot="1" x14ac:dyDescent="0.35">
      <c r="A8" s="617"/>
      <c r="B8" s="400" t="s">
        <v>291</v>
      </c>
      <c r="C8" s="499">
        <v>168.853411648974</v>
      </c>
      <c r="D8" s="576">
        <v>180.28004027440599</v>
      </c>
      <c r="E8" s="397">
        <f>'Equilibre prévisionnel'!G13</f>
        <v>223.04307416972861</v>
      </c>
      <c r="F8" s="401">
        <f>'Equilibre prévisionnel'!H13</f>
        <v>235.11115152362325</v>
      </c>
    </row>
    <row r="9" spans="1:8" ht="16.5" thickBot="1" x14ac:dyDescent="0.35">
      <c r="A9" s="617"/>
      <c r="B9" s="129" t="s">
        <v>300</v>
      </c>
      <c r="C9" s="416">
        <v>1479.7933324913499</v>
      </c>
      <c r="D9" s="576">
        <v>1531.3648399643901</v>
      </c>
      <c r="E9" s="397">
        <f>'Equilibre prévisionnel'!G14</f>
        <v>1600.6440996071078</v>
      </c>
      <c r="F9" s="401">
        <f>'Equilibre prévisionnel'!H14</f>
        <v>1678.0451483872439</v>
      </c>
    </row>
    <row r="10" spans="1:8" ht="16.5" thickBot="1" x14ac:dyDescent="0.35">
      <c r="A10" s="617"/>
      <c r="B10" s="258" t="s">
        <v>95</v>
      </c>
      <c r="C10" s="419">
        <f>558.930038383+C11</f>
        <v>551.99352879728895</v>
      </c>
      <c r="D10" s="576">
        <f>454.251295336+D11</f>
        <v>454.50670387660995</v>
      </c>
      <c r="E10" s="397">
        <f>'Equilibre prévisionnel'!G15</f>
        <v>516.66540672142264</v>
      </c>
      <c r="F10" s="401">
        <f>'Equilibre prévisionnel'!H15</f>
        <v>530.11294853251388</v>
      </c>
    </row>
    <row r="11" spans="1:8" ht="16.5" thickBot="1" x14ac:dyDescent="0.35">
      <c r="A11" s="617"/>
      <c r="B11" s="129" t="s">
        <v>96</v>
      </c>
      <c r="C11" s="451">
        <v>-6.9365095857110113</v>
      </c>
      <c r="D11" s="577">
        <v>0.25540854060996399</v>
      </c>
      <c r="E11" s="397"/>
      <c r="F11" s="401"/>
      <c r="H11" s="252"/>
    </row>
    <row r="12" spans="1:8" ht="16.5" thickBot="1" x14ac:dyDescent="0.35">
      <c r="A12" s="617"/>
      <c r="B12" s="399" t="s">
        <v>259</v>
      </c>
      <c r="C12" s="452">
        <f>403.931556468</f>
        <v>403.931556468</v>
      </c>
      <c r="D12" s="603">
        <f>392.793516101</f>
        <v>392.79351610100002</v>
      </c>
      <c r="E12" s="397">
        <f>'Equilibre prévisionnel'!G16</f>
        <v>190.83523270474331</v>
      </c>
      <c r="F12" s="401">
        <f>'Equilibre prévisionnel'!H16</f>
        <v>191.83523270474331</v>
      </c>
    </row>
    <row r="13" spans="1:8" ht="16.5" thickBot="1" x14ac:dyDescent="0.35">
      <c r="A13" s="617"/>
      <c r="B13" s="129" t="s">
        <v>347</v>
      </c>
      <c r="C13" s="453">
        <v>-15</v>
      </c>
      <c r="D13" s="603">
        <v>2.0945999999999998</v>
      </c>
      <c r="E13" s="397"/>
      <c r="F13" s="401"/>
      <c r="H13" s="252"/>
    </row>
    <row r="14" spans="1:8" ht="16.5" thickBot="1" x14ac:dyDescent="0.35">
      <c r="A14" s="617"/>
      <c r="B14" s="399" t="s">
        <v>258</v>
      </c>
      <c r="C14" s="420">
        <v>60.061984776999999</v>
      </c>
      <c r="D14" s="603">
        <v>185.94194534299999</v>
      </c>
      <c r="E14" s="397">
        <f>'Equilibre prévisionnel'!G17</f>
        <v>37.095351377572499</v>
      </c>
      <c r="F14" s="401">
        <f>'Equilibre prévisionnel'!H17</f>
        <v>41.7064031870216</v>
      </c>
      <c r="H14" s="252"/>
    </row>
    <row r="15" spans="1:8" ht="16.5" thickBot="1" x14ac:dyDescent="0.35">
      <c r="A15" s="617"/>
      <c r="B15" s="399" t="s">
        <v>55</v>
      </c>
      <c r="C15" s="417">
        <v>75.560988899999998</v>
      </c>
      <c r="D15" s="576">
        <v>62.639432999999997</v>
      </c>
      <c r="E15" s="397">
        <f>'Equilibre prévisionnel'!G18</f>
        <v>73.841666666666697</v>
      </c>
      <c r="F15" s="401">
        <f>'Equilibre prévisionnel'!H18</f>
        <v>73.841666666666697</v>
      </c>
    </row>
    <row r="16" spans="1:8" ht="16.5" thickBot="1" x14ac:dyDescent="0.35">
      <c r="A16" s="617"/>
      <c r="B16" s="399" t="s">
        <v>303</v>
      </c>
      <c r="C16" s="500">
        <v>34.758536230000004</v>
      </c>
      <c r="D16" s="576">
        <v>43.159096130000002</v>
      </c>
      <c r="E16" s="397">
        <f>'Equilibre prévisionnel'!G19</f>
        <v>29.909126840885332</v>
      </c>
      <c r="F16" s="401">
        <f>'Equilibre prévisionnel'!H19</f>
        <v>29.998763743498614</v>
      </c>
    </row>
    <row r="17" spans="1:8" ht="16.5" thickBot="1" x14ac:dyDescent="0.35">
      <c r="A17" s="617"/>
      <c r="B17" s="404" t="s">
        <v>97</v>
      </c>
      <c r="C17" s="416">
        <v>0</v>
      </c>
      <c r="D17" s="578">
        <v>0.115</v>
      </c>
      <c r="E17" s="397">
        <v>1.7709698591999998</v>
      </c>
      <c r="F17" s="401">
        <v>1.7709698591999998</v>
      </c>
    </row>
    <row r="18" spans="1:8" ht="27.75" thickBot="1" x14ac:dyDescent="0.35">
      <c r="A18" s="617"/>
      <c r="B18" s="399" t="s">
        <v>56</v>
      </c>
      <c r="C18" s="420">
        <v>3.1</v>
      </c>
      <c r="D18" s="576">
        <v>0</v>
      </c>
      <c r="E18" s="397">
        <f>'Equilibre prévisionnel'!G20</f>
        <v>0</v>
      </c>
      <c r="F18" s="401">
        <f>'Equilibre prévisionnel'!H20</f>
        <v>0</v>
      </c>
      <c r="G18" s="252"/>
      <c r="H18" s="179"/>
    </row>
    <row r="19" spans="1:8" ht="27.75" thickBot="1" x14ac:dyDescent="0.35">
      <c r="A19" s="617"/>
      <c r="B19" s="399" t="s">
        <v>61</v>
      </c>
      <c r="C19" s="499">
        <v>-14.37887025</v>
      </c>
      <c r="D19" s="576">
        <v>-17.123417910000001</v>
      </c>
      <c r="E19" s="397">
        <f>'Equilibre prévisionnel'!G21</f>
        <v>0</v>
      </c>
      <c r="F19" s="401">
        <f>'Equilibre prévisionnel'!H21</f>
        <v>0</v>
      </c>
    </row>
    <row r="20" spans="1:8" ht="27.75" thickBot="1" x14ac:dyDescent="0.35">
      <c r="A20" s="617"/>
      <c r="B20" s="258" t="s">
        <v>247</v>
      </c>
      <c r="C20" s="405">
        <f>'Equilibre prévisionnel'!E22</f>
        <v>0</v>
      </c>
      <c r="D20" s="579">
        <v>0</v>
      </c>
      <c r="E20" s="397">
        <f>'Equilibre prévisionnel'!G22</f>
        <v>0</v>
      </c>
      <c r="F20" s="401">
        <f>'Equilibre prévisionnel'!H22</f>
        <v>0</v>
      </c>
      <c r="H20" s="252"/>
    </row>
    <row r="21" spans="1:8" ht="16.5" thickBot="1" x14ac:dyDescent="0.35">
      <c r="A21" s="617"/>
      <c r="B21" s="258" t="s">
        <v>269</v>
      </c>
      <c r="C21" s="417">
        <f>'Equilibre prévisionnel'!E23</f>
        <v>0</v>
      </c>
      <c r="D21" s="580">
        <f>'Equilibre prévisionnel'!F23</f>
        <v>0</v>
      </c>
      <c r="E21" s="397">
        <f>'Equilibre prévisionnel'!G23</f>
        <v>0</v>
      </c>
      <c r="F21" s="401">
        <f>'Equilibre prévisionnel'!H23</f>
        <v>0</v>
      </c>
    </row>
    <row r="22" spans="1:8" ht="16.5" thickBot="1" x14ac:dyDescent="0.35">
      <c r="A22" s="617"/>
      <c r="B22" s="402" t="s">
        <v>346</v>
      </c>
      <c r="C22" s="421">
        <f>80%*(0.149)</f>
        <v>0.1192</v>
      </c>
      <c r="D22" s="591">
        <v>0</v>
      </c>
      <c r="E22" s="397"/>
      <c r="F22" s="401"/>
      <c r="H22" s="179"/>
    </row>
    <row r="23" spans="1:8" ht="27.75" thickBot="1" x14ac:dyDescent="0.35">
      <c r="A23" s="617"/>
      <c r="B23" s="402" t="s">
        <v>57</v>
      </c>
      <c r="C23" s="418">
        <f>'Equilibre prévisionnel'!E24</f>
        <v>0</v>
      </c>
      <c r="D23" s="580">
        <v>0</v>
      </c>
      <c r="E23" s="397">
        <f>'Equilibre prévisionnel'!G24</f>
        <v>0</v>
      </c>
      <c r="F23" s="401">
        <f>'Equilibre prévisionnel'!H24</f>
        <v>0</v>
      </c>
    </row>
    <row r="24" spans="1:8" x14ac:dyDescent="0.25">
      <c r="A24" s="415"/>
    </row>
    <row r="25" spans="1:8" ht="15.75" thickBot="1" x14ac:dyDescent="0.3">
      <c r="A25" s="413"/>
      <c r="B25" s="327" t="s">
        <v>106</v>
      </c>
      <c r="C25" s="403"/>
    </row>
    <row r="26" spans="1:8" ht="16.5" thickBot="1" x14ac:dyDescent="0.35">
      <c r="A26" s="414"/>
      <c r="B26" s="399" t="s">
        <v>60</v>
      </c>
      <c r="C26" s="453">
        <v>-777.76097722999998</v>
      </c>
      <c r="D26" s="582">
        <v>-2590.9</v>
      </c>
      <c r="E26" s="396">
        <v>-343.4</v>
      </c>
      <c r="F26" s="396">
        <v>-341.50000000000006</v>
      </c>
      <c r="H26" s="179"/>
    </row>
    <row r="27" spans="1:8" ht="16.5" thickBot="1" x14ac:dyDescent="0.35">
      <c r="A27" s="632" t="s">
        <v>59</v>
      </c>
      <c r="B27" s="399" t="s">
        <v>249</v>
      </c>
      <c r="C27" s="501">
        <v>-0.41662281200000001</v>
      </c>
      <c r="D27" s="582">
        <v>1.7247995899999999</v>
      </c>
      <c r="E27" s="396">
        <v>0</v>
      </c>
      <c r="F27" s="396">
        <v>0</v>
      </c>
    </row>
    <row r="28" spans="1:8" ht="15.6" customHeight="1" thickBot="1" x14ac:dyDescent="0.35">
      <c r="A28" s="617"/>
      <c r="B28" s="399" t="s">
        <v>250</v>
      </c>
      <c r="C28" s="502">
        <v>-6.2645624599999996</v>
      </c>
      <c r="D28" s="582">
        <v>-15.406411050000001</v>
      </c>
      <c r="E28" s="396">
        <v>-14.266666666666666</v>
      </c>
      <c r="F28" s="396">
        <v>-14.266666666666666</v>
      </c>
    </row>
    <row r="29" spans="1:8" ht="16.5" thickBot="1" x14ac:dyDescent="0.35">
      <c r="A29" s="617"/>
      <c r="B29" s="399" t="s">
        <v>251</v>
      </c>
      <c r="C29" s="502">
        <v>-8.8323611199999998</v>
      </c>
      <c r="D29" s="582">
        <v>-32.9940116</v>
      </c>
      <c r="E29" s="396">
        <v>-11.233333333333334</v>
      </c>
      <c r="F29" s="396">
        <v>-11.233333333333334</v>
      </c>
    </row>
    <row r="30" spans="1:8" ht="16.5" thickBot="1" x14ac:dyDescent="0.35">
      <c r="A30" s="633"/>
      <c r="B30" s="399" t="s">
        <v>252</v>
      </c>
      <c r="C30" s="453">
        <f>80%*(-0.457)</f>
        <v>-0.36560000000000004</v>
      </c>
      <c r="D30" s="598">
        <v>-0.41321184799999999</v>
      </c>
      <c r="E30" s="396">
        <v>0</v>
      </c>
      <c r="F30" s="396">
        <v>0</v>
      </c>
      <c r="H30" s="179"/>
    </row>
    <row r="31" spans="1:8" ht="16.5" thickBot="1" x14ac:dyDescent="0.35">
      <c r="A31" s="258"/>
      <c r="B31" s="399" t="s">
        <v>253</v>
      </c>
      <c r="C31" s="503">
        <v>0</v>
      </c>
      <c r="D31" s="582">
        <v>0</v>
      </c>
      <c r="E31" s="396">
        <v>0</v>
      </c>
      <c r="F31" s="396">
        <v>0</v>
      </c>
    </row>
    <row r="32" spans="1:8" x14ac:dyDescent="0.25">
      <c r="A32" s="320"/>
    </row>
    <row r="33" spans="1:9" ht="15.75" thickBot="1" x14ac:dyDescent="0.3">
      <c r="A33" s="320"/>
      <c r="B33" s="327" t="s">
        <v>254</v>
      </c>
    </row>
    <row r="34" spans="1:9" ht="15.75" thickBot="1" x14ac:dyDescent="0.3">
      <c r="A34" s="623" t="s">
        <v>63</v>
      </c>
      <c r="B34" s="258" t="s">
        <v>266</v>
      </c>
      <c r="C34" s="504">
        <v>1.526</v>
      </c>
      <c r="D34" s="581">
        <v>3.2719999999999998</v>
      </c>
      <c r="E34" s="243"/>
      <c r="F34" s="253"/>
      <c r="G34" s="571"/>
      <c r="H34" s="179"/>
      <c r="I34" s="596"/>
    </row>
    <row r="35" spans="1:9" ht="15.75" thickBot="1" x14ac:dyDescent="0.3">
      <c r="A35" s="623"/>
      <c r="B35" s="258" t="s">
        <v>65</v>
      </c>
      <c r="C35" s="504">
        <v>-9.9399999999999977</v>
      </c>
      <c r="D35" s="581">
        <v>-0.87</v>
      </c>
      <c r="E35" s="243"/>
      <c r="F35" s="253"/>
      <c r="H35" s="179"/>
    </row>
    <row r="36" spans="1:9" ht="15" customHeight="1" thickBot="1" x14ac:dyDescent="0.3">
      <c r="A36" s="623"/>
      <c r="B36" s="258" t="s">
        <v>255</v>
      </c>
      <c r="C36" s="505"/>
      <c r="D36" s="581">
        <v>0</v>
      </c>
      <c r="E36" s="243"/>
      <c r="F36" s="253"/>
      <c r="H36" s="179"/>
    </row>
    <row r="37" spans="1:9" ht="15.75" thickBot="1" x14ac:dyDescent="0.3">
      <c r="A37" s="623"/>
      <c r="B37" s="258" t="s">
        <v>64</v>
      </c>
      <c r="C37" s="504">
        <v>2.0565609999999999</v>
      </c>
      <c r="D37" s="600">
        <v>7.2300000000000003E-2</v>
      </c>
      <c r="E37" s="243"/>
      <c r="F37" s="253"/>
      <c r="H37" s="252"/>
    </row>
    <row r="38" spans="1:9" ht="16.5" thickBot="1" x14ac:dyDescent="0.35">
      <c r="A38" s="623"/>
      <c r="B38" s="258" t="s">
        <v>66</v>
      </c>
      <c r="C38" s="506">
        <v>-5.8859999999999948</v>
      </c>
      <c r="D38" s="581">
        <v>0</v>
      </c>
      <c r="E38" s="243"/>
      <c r="F38" s="253"/>
      <c r="H38" s="179"/>
    </row>
    <row r="39" spans="1:9" ht="15.75" thickBot="1" x14ac:dyDescent="0.3">
      <c r="A39" s="623"/>
      <c r="B39" s="258" t="s">
        <v>257</v>
      </c>
      <c r="C39" s="507">
        <v>0</v>
      </c>
      <c r="D39" s="581">
        <v>0</v>
      </c>
      <c r="E39" s="243"/>
      <c r="F39" s="253"/>
      <c r="H39" s="179"/>
    </row>
    <row r="40" spans="1:9" ht="15.75" thickBot="1" x14ac:dyDescent="0.3">
      <c r="A40" s="634"/>
      <c r="B40" s="349" t="s">
        <v>256</v>
      </c>
      <c r="C40" s="110">
        <v>0</v>
      </c>
      <c r="D40" s="581">
        <v>0</v>
      </c>
      <c r="E40" s="243"/>
      <c r="F40" s="253"/>
    </row>
    <row r="41" spans="1:9" ht="15.75" thickBot="1" x14ac:dyDescent="0.3"/>
    <row r="42" spans="1:9" ht="15.75" thickBot="1" x14ac:dyDescent="0.3">
      <c r="A42" s="630" t="s">
        <v>302</v>
      </c>
      <c r="B42" s="258" t="s">
        <v>69</v>
      </c>
      <c r="C42" s="140"/>
      <c r="D42" s="140"/>
      <c r="E42" s="140"/>
      <c r="F42" s="110">
        <v>0</v>
      </c>
    </row>
    <row r="43" spans="1:9" ht="15.75" thickBot="1" x14ac:dyDescent="0.3">
      <c r="A43" s="631"/>
      <c r="B43" s="258" t="s">
        <v>278</v>
      </c>
      <c r="C43" s="140"/>
      <c r="D43" s="140"/>
      <c r="E43" s="140"/>
      <c r="F43" s="110">
        <v>0</v>
      </c>
      <c r="H43" s="252"/>
    </row>
    <row r="44" spans="1:9" ht="15.75" thickBot="1" x14ac:dyDescent="0.3">
      <c r="A44" s="631"/>
      <c r="B44" s="258" t="s">
        <v>320</v>
      </c>
      <c r="C44" s="140"/>
      <c r="D44" s="140"/>
      <c r="E44" s="140"/>
      <c r="F44" s="110">
        <v>0</v>
      </c>
      <c r="H44" s="252"/>
    </row>
    <row r="45" spans="1:9" ht="15.75" thickBot="1" x14ac:dyDescent="0.3">
      <c r="B45" s="106"/>
    </row>
    <row r="46" spans="1:9" ht="15.75" thickBot="1" x14ac:dyDescent="0.3">
      <c r="B46" s="116" t="s">
        <v>98</v>
      </c>
      <c r="C46" s="116">
        <v>2021</v>
      </c>
      <c r="D46" s="116">
        <v>2022</v>
      </c>
      <c r="E46" s="116">
        <v>2023</v>
      </c>
      <c r="F46" s="116">
        <v>2024</v>
      </c>
    </row>
    <row r="47" spans="1:9" ht="16.5" thickBot="1" x14ac:dyDescent="0.35">
      <c r="B47" s="258" t="s">
        <v>99</v>
      </c>
      <c r="C47" s="405">
        <v>4337.5333570000003</v>
      </c>
      <c r="D47" s="598">
        <v>2188.7259552400001</v>
      </c>
      <c r="E47" s="406">
        <f>7/12*'Equilibre prévisionnel'!G54*'CRCP &amp; évolutions'!F85+5/12*'Equilibre prévisionnel'!G54*'CRCP &amp; évolutions'!G85+'Equilibre prévisionnel'!G60</f>
        <v>4437.4411129077744</v>
      </c>
      <c r="F47" s="406">
        <f>7/12*'Equilibre prévisionnel'!H54*'CRCP &amp; évolutions'!G85+5/12*'Equilibre prévisionnel'!H54*'CRCP &amp; évolutions'!H85+'Equilibre prévisionnel'!H60</f>
        <v>4655.9296196413297</v>
      </c>
    </row>
    <row r="49" spans="3:3" ht="15.75" x14ac:dyDescent="0.3">
      <c r="C49" s="605"/>
    </row>
  </sheetData>
  <mergeCells count="4">
    <mergeCell ref="A42:A44"/>
    <mergeCell ref="A27:A30"/>
    <mergeCell ref="A6:A23"/>
    <mergeCell ref="A34:A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B1:P94"/>
  <sheetViews>
    <sheetView topLeftCell="A53" zoomScale="71" zoomScaleNormal="100" workbookViewId="0">
      <selection activeCell="J12" sqref="J12"/>
    </sheetView>
  </sheetViews>
  <sheetFormatPr baseColWidth="10" defaultColWidth="11.28515625" defaultRowHeight="15.75" x14ac:dyDescent="0.25"/>
  <cols>
    <col min="1" max="1" width="1.7109375" style="29" customWidth="1"/>
    <col min="2" max="2" width="5.7109375" style="29" customWidth="1"/>
    <col min="3" max="3" width="96.7109375" style="29" customWidth="1"/>
    <col min="4" max="4" width="23.28515625" style="32" customWidth="1"/>
    <col min="5" max="9" width="19.140625" style="32" customWidth="1"/>
    <col min="10" max="10" width="19" style="33" customWidth="1"/>
    <col min="11" max="11" width="19.7109375" style="32" customWidth="1"/>
    <col min="12" max="12" width="16.140625" style="29" customWidth="1"/>
    <col min="13" max="13" width="18" style="29" bestFit="1" customWidth="1"/>
    <col min="14" max="14" width="15.28515625" style="29" customWidth="1"/>
    <col min="15" max="16384" width="11.28515625" style="29"/>
  </cols>
  <sheetData>
    <row r="1" spans="2:14" ht="21" customHeight="1" thickBot="1" x14ac:dyDescent="0.3">
      <c r="C1" s="30" t="s">
        <v>100</v>
      </c>
      <c r="F1" s="164"/>
      <c r="G1" s="164"/>
    </row>
    <row r="2" spans="2:14" ht="17.25" thickBot="1" x14ac:dyDescent="0.3">
      <c r="C2" s="635" t="s">
        <v>101</v>
      </c>
      <c r="D2" s="636"/>
      <c r="E2" s="165">
        <v>2023</v>
      </c>
      <c r="F2" s="39"/>
      <c r="J2" s="256"/>
    </row>
    <row r="3" spans="2:14" ht="16.5" thickBot="1" x14ac:dyDescent="0.3">
      <c r="C3" s="162"/>
      <c r="D3" s="166"/>
      <c r="F3" s="411"/>
      <c r="G3" s="33"/>
      <c r="I3" s="29"/>
      <c r="J3" s="46"/>
      <c r="K3" s="29"/>
    </row>
    <row r="4" spans="2:14" ht="16.5" thickBot="1" x14ac:dyDescent="0.35">
      <c r="C4" s="154" t="s">
        <v>47</v>
      </c>
      <c r="D4" s="155">
        <f>'Equilibre prévisionnel'!G2</f>
        <v>1.7000000000000001E-2</v>
      </c>
      <c r="H4" s="33"/>
      <c r="J4" s="46"/>
    </row>
    <row r="5" spans="2:14" ht="16.5" thickBot="1" x14ac:dyDescent="0.35">
      <c r="C5" s="154" t="s">
        <v>327</v>
      </c>
      <c r="D5" s="155">
        <f>'Equilibre prévisionnel'!G3</f>
        <v>4.9220761724226899E-3</v>
      </c>
      <c r="H5" s="33"/>
      <c r="J5" s="32"/>
    </row>
    <row r="6" spans="2:14" ht="16.5" thickBot="1" x14ac:dyDescent="0.35">
      <c r="C6" s="154" t="s">
        <v>298</v>
      </c>
      <c r="D6" s="155">
        <f>'Equilibre prévisionnel'!G4</f>
        <v>1.092207617242269E-2</v>
      </c>
      <c r="H6" s="33"/>
      <c r="I6" s="254"/>
      <c r="J6" s="32"/>
    </row>
    <row r="7" spans="2:14" ht="13.9" customHeight="1" thickBot="1" x14ac:dyDescent="0.3">
      <c r="C7" s="31"/>
      <c r="D7" s="167"/>
    </row>
    <row r="8" spans="2:14" ht="21.6" customHeight="1" thickBot="1" x14ac:dyDescent="0.3">
      <c r="B8" s="637" t="s">
        <v>6</v>
      </c>
      <c r="C8" s="54" t="s">
        <v>102</v>
      </c>
      <c r="D8" s="328">
        <v>2020</v>
      </c>
      <c r="E8" s="328">
        <v>2021</v>
      </c>
      <c r="F8" s="328">
        <v>2022</v>
      </c>
      <c r="G8" s="328">
        <v>2023</v>
      </c>
      <c r="H8" s="328">
        <v>2024</v>
      </c>
      <c r="I8" s="163">
        <v>2021</v>
      </c>
      <c r="J8" s="32"/>
      <c r="K8" s="169"/>
      <c r="L8" s="34"/>
      <c r="M8" s="34"/>
      <c r="N8" s="34"/>
    </row>
    <row r="9" spans="2:14" ht="15.95" customHeight="1" thickBot="1" x14ac:dyDescent="0.3">
      <c r="B9" s="638"/>
      <c r="C9" s="544" t="s">
        <v>344</v>
      </c>
      <c r="D9" s="545"/>
      <c r="E9" s="546">
        <v>1.4999999999999999E-2</v>
      </c>
      <c r="F9" s="546">
        <f>IPC!I14</f>
        <v>1.4999999999999999E-2</v>
      </c>
      <c r="G9" s="546">
        <f>IPC!J14</f>
        <v>4.2000000000000003E-2</v>
      </c>
      <c r="H9" s="546">
        <f>IPC!K14</f>
        <v>0</v>
      </c>
      <c r="I9" s="411"/>
      <c r="J9" s="32"/>
    </row>
    <row r="10" spans="2:14" ht="15.95" customHeight="1" thickBot="1" x14ac:dyDescent="0.3">
      <c r="B10" s="638"/>
      <c r="C10" s="547" t="s">
        <v>328</v>
      </c>
      <c r="D10" s="548"/>
      <c r="E10" s="546">
        <v>1.55E-2</v>
      </c>
      <c r="F10" s="546">
        <f>IF($E$2&gt;F$8,IPC!I8,'Equilibre prévisionnel'!F7)</f>
        <v>5.3400000000000003E-2</v>
      </c>
      <c r="G10" s="546">
        <f>IF($E$2&gt;G$8,IPC!J8,'Equilibre prévisionnel'!G7)</f>
        <v>1.2E-2</v>
      </c>
      <c r="H10" s="546">
        <f>IF($E$2&gt;H$8,IPC!K8,'Equilibre prévisionnel'!H7)</f>
        <v>1.4999999999999999E-2</v>
      </c>
      <c r="J10" s="32"/>
    </row>
    <row r="11" spans="2:14" ht="15.95" customHeight="1" thickBot="1" x14ac:dyDescent="0.3">
      <c r="B11" s="638"/>
      <c r="C11" s="543" t="s">
        <v>329</v>
      </c>
      <c r="D11" s="549">
        <f>IPC!G10</f>
        <v>1.0020719230336808</v>
      </c>
      <c r="E11" s="549">
        <f>D11*(1+E10)</f>
        <v>1.017604037840703</v>
      </c>
      <c r="F11" s="550">
        <f>E11*(1+F10)</f>
        <v>1.0719440934613964</v>
      </c>
      <c r="G11" s="550">
        <f>F11*(1+G10)</f>
        <v>1.0848074225829332</v>
      </c>
      <c r="H11" s="549">
        <f t="shared" ref="H11" si="0">G11*(1+H10)</f>
        <v>1.101079533921677</v>
      </c>
      <c r="J11" s="32"/>
    </row>
    <row r="12" spans="2:14" ht="15.95" customHeight="1" thickBot="1" x14ac:dyDescent="0.3">
      <c r="B12" s="371"/>
      <c r="C12" s="543" t="s">
        <v>342</v>
      </c>
      <c r="D12" s="549"/>
      <c r="E12" s="549">
        <f>'Equilibre prévisionnel'!E8</f>
        <v>1.0080119999999999</v>
      </c>
      <c r="F12" s="575">
        <f>'Equilibre prévisionnel'!F8</f>
        <v>1.0180921199999999</v>
      </c>
      <c r="G12" s="549">
        <f>'Equilibre prévisionnel'!G8</f>
        <v>1.0303092254399999</v>
      </c>
      <c r="H12" s="549">
        <f>'Equilibre prévisionnel'!H8</f>
        <v>1.0457638638215998</v>
      </c>
      <c r="I12" s="46"/>
      <c r="J12" s="32"/>
    </row>
    <row r="13" spans="2:14" ht="16.5" thickBot="1" x14ac:dyDescent="0.3">
      <c r="B13" s="138"/>
      <c r="C13" s="55"/>
      <c r="D13" s="56"/>
      <c r="E13" s="36"/>
      <c r="F13" s="36"/>
      <c r="G13" s="36"/>
      <c r="H13" s="57"/>
      <c r="J13" s="32"/>
    </row>
    <row r="14" spans="2:14" ht="10.9" customHeight="1" thickBot="1" x14ac:dyDescent="0.3">
      <c r="B14" s="342"/>
      <c r="C14" s="58"/>
      <c r="D14" s="168"/>
      <c r="E14" s="348"/>
      <c r="F14" s="348"/>
      <c r="G14" s="348"/>
      <c r="H14" s="348"/>
      <c r="J14" s="32"/>
    </row>
    <row r="15" spans="2:14" ht="17.25" customHeight="1" thickBot="1" x14ac:dyDescent="0.3">
      <c r="B15" s="639" t="s">
        <v>103</v>
      </c>
      <c r="C15" s="58" t="s">
        <v>104</v>
      </c>
      <c r="D15" s="168"/>
      <c r="E15" s="328">
        <v>2021</v>
      </c>
      <c r="F15" s="328">
        <v>2022</v>
      </c>
      <c r="G15" s="328">
        <v>2023</v>
      </c>
      <c r="H15" s="328">
        <v>2024</v>
      </c>
      <c r="I15" s="389"/>
    </row>
    <row r="16" spans="2:14" ht="15.95" customHeight="1" thickBot="1" x14ac:dyDescent="0.3">
      <c r="B16" s="640"/>
      <c r="C16" s="551" t="s">
        <v>105</v>
      </c>
      <c r="D16" s="552"/>
      <c r="E16" s="552"/>
      <c r="F16" s="552"/>
      <c r="G16" s="552"/>
      <c r="H16" s="552"/>
      <c r="I16" s="584"/>
      <c r="J16" s="318"/>
    </row>
    <row r="17" spans="2:11" ht="15.95" customHeight="1" thickBot="1" x14ac:dyDescent="0.3">
      <c r="B17" s="640"/>
      <c r="C17" s="372" t="s">
        <v>305</v>
      </c>
      <c r="D17" s="373"/>
      <c r="E17" s="377">
        <f>'Equilibre prévisionnel'!E11*E11/E12</f>
        <v>2102.764920511981</v>
      </c>
      <c r="F17" s="597">
        <f>'Equilibre prévisionnel'!F11*F11/F12</f>
        <v>2228.0458700684844</v>
      </c>
      <c r="G17" s="377">
        <f>'Equilibre prévisionnel'!G11*G11/G12</f>
        <v>2243.2787936013428</v>
      </c>
      <c r="H17" s="377">
        <f>'Equilibre prévisionnel'!H11*H11/H12</f>
        <v>2280.0060703850404</v>
      </c>
      <c r="I17" s="319"/>
      <c r="J17" s="319"/>
      <c r="K17" s="46"/>
    </row>
    <row r="18" spans="2:11" ht="15.95" customHeight="1" thickBot="1" x14ac:dyDescent="0.3">
      <c r="B18" s="640"/>
      <c r="C18" s="372" t="s">
        <v>290</v>
      </c>
      <c r="D18" s="375"/>
      <c r="E18" s="374">
        <f>'Equilibre prévisionnel'!E13</f>
        <v>188.74786007392822</v>
      </c>
      <c r="F18" s="374">
        <f>'Equilibre prévisionnel'!F13</f>
        <v>207.03421743397431</v>
      </c>
      <c r="G18" s="374">
        <f>'Equilibre prévisionnel'!G13</f>
        <v>223.04307416972861</v>
      </c>
      <c r="H18" s="374">
        <f>'Equilibre prévisionnel'!H13</f>
        <v>235.11115152362325</v>
      </c>
      <c r="I18" s="242"/>
      <c r="J18" s="38"/>
    </row>
    <row r="19" spans="2:11" ht="15.95" customHeight="1" thickBot="1" x14ac:dyDescent="0.3">
      <c r="B19" s="640"/>
      <c r="C19" s="376" t="s">
        <v>300</v>
      </c>
      <c r="D19" s="373"/>
      <c r="E19" s="374">
        <f>IF($E$2&gt;E$8,'Montants réalisés'!C9,'Equilibre prévisionnel'!E14)</f>
        <v>1479.7933324913499</v>
      </c>
      <c r="F19" s="374">
        <f>IF($E$2&gt;F$8,'Montants réalisés'!D9,'Equilibre prévisionnel'!F14)</f>
        <v>1531.3648399643901</v>
      </c>
      <c r="G19" s="374">
        <f>IF($E$2&gt;G$8,'Montants réalisés'!E9,'Equilibre prévisionnel'!G14)</f>
        <v>1600.6440996071078</v>
      </c>
      <c r="H19" s="374">
        <f>IF($E$2&gt;H$8,'Montants réalisés'!F9,'Equilibre prévisionnel'!H14)</f>
        <v>1678.0451483872439</v>
      </c>
      <c r="I19" s="37"/>
      <c r="J19" s="38"/>
    </row>
    <row r="20" spans="2:11" ht="15.95" customHeight="1" thickBot="1" x14ac:dyDescent="0.3">
      <c r="B20" s="640"/>
      <c r="C20" s="376" t="s">
        <v>283</v>
      </c>
      <c r="D20" s="373"/>
      <c r="E20" s="377">
        <f>IF($E$2&gt;E$8,'Montants réalisés'!C10,'Equilibre prévisionnel'!E15)</f>
        <v>551.99352879728895</v>
      </c>
      <c r="F20" s="374">
        <f>IF($E$2&gt;F$8,'Montants réalisés'!D10,'Equilibre prévisionnel'!F15)</f>
        <v>454.50670387660995</v>
      </c>
      <c r="G20" s="374">
        <f>IF($E$2&gt;G$8,'Montants réalisés'!E10,'Equilibre prévisionnel'!G15)</f>
        <v>516.66540672142264</v>
      </c>
      <c r="H20" s="374">
        <f>IF($E$2&gt;H$8,'Montants réalisés'!F10,'Equilibre prévisionnel'!H15)</f>
        <v>530.11294853251388</v>
      </c>
      <c r="I20" s="37"/>
      <c r="J20" s="319"/>
    </row>
    <row r="21" spans="2:11" ht="15.95" customHeight="1" thickBot="1" x14ac:dyDescent="0.3">
      <c r="B21" s="640"/>
      <c r="C21" s="372" t="s">
        <v>268</v>
      </c>
      <c r="D21" s="373"/>
      <c r="E21" s="454">
        <f>IF($E$2&gt;E$8,'Montants réalisés'!C12+'Montants réalisés'!C13,'Equilibre prévisionnel'!E16)</f>
        <v>388.931556468</v>
      </c>
      <c r="F21" s="377">
        <f>IF($E$2&gt;F$8,'Montants réalisés'!D12+'Montants réalisés'!D13,'Equilibre prévisionnel'!F16)</f>
        <v>394.88811610100004</v>
      </c>
      <c r="G21" s="374">
        <f>IF($E$2&gt;G$8,'Montants réalisés'!E12+MAX(-15,MIN(15,20%*('Equilibre prévisionnel'!G16-'Montants réalisés'!E12))),'Equilibre prévisionnel'!G16)</f>
        <v>190.83523270474331</v>
      </c>
      <c r="H21" s="374">
        <f>IF($E$2&gt;H$8,'Montants réalisés'!F12+MAX(-15,MIN(15,20%*('Equilibre prévisionnel'!H16-'Montants réalisés'!F12))),'Equilibre prévisionnel'!H16)</f>
        <v>191.83523270474331</v>
      </c>
      <c r="I21" s="37"/>
      <c r="J21" s="38"/>
      <c r="K21" s="316"/>
    </row>
    <row r="22" spans="2:11" ht="15.95" customHeight="1" thickBot="1" x14ac:dyDescent="0.3">
      <c r="B22" s="640"/>
      <c r="C22" s="372" t="s">
        <v>272</v>
      </c>
      <c r="D22" s="373"/>
      <c r="E22" s="377">
        <f>IF($E$2&gt;E$8,'Equilibre prévisionnel'!E17+80%*('Montants réalisés'!C14-'Equilibre prévisionnel'!E17),'Equilibre prévisionnel'!E17)</f>
        <v>52.527500860939199</v>
      </c>
      <c r="F22" s="377">
        <f>IF($E$2&gt;F$8,'Montants réalisés'!D14,'Equilibre prévisionnel'!F17)</f>
        <v>185.94194534299999</v>
      </c>
      <c r="G22" s="374">
        <f>IF($E$2&gt;G$8,'Equilibre prévisionnel'!G17+80%*('Montants réalisés'!E14-'Equilibre prévisionnel'!G17),'Equilibre prévisionnel'!G17)</f>
        <v>37.095351377572499</v>
      </c>
      <c r="H22" s="374">
        <f>IF($E$2&gt;H$8,'Equilibre prévisionnel'!H17+80%*('Montants réalisés'!F14-'Equilibre prévisionnel'!H17),'Equilibre prévisionnel'!H17)</f>
        <v>41.7064031870216</v>
      </c>
      <c r="I22" s="37"/>
      <c r="J22" s="38"/>
      <c r="K22" s="316"/>
    </row>
    <row r="23" spans="2:11" ht="15.95" customHeight="1" thickBot="1" x14ac:dyDescent="0.3">
      <c r="B23" s="640"/>
      <c r="C23" s="372" t="s">
        <v>323</v>
      </c>
      <c r="D23" s="373"/>
      <c r="E23" s="377">
        <f>IF($E$2&gt;E$8,'Montants réalisés'!C15,'Equilibre prévisionnel'!E18)</f>
        <v>75.560988899999998</v>
      </c>
      <c r="F23" s="377">
        <f>IF($E$2&gt;F$8,'Montants réalisés'!D15,'Equilibre prévisionnel'!F18)</f>
        <v>62.639432999999997</v>
      </c>
      <c r="G23" s="377">
        <f>IF($E$2&gt;G$8,'Montants réalisés'!E15,'Equilibre prévisionnel'!G18)</f>
        <v>73.841666666666697</v>
      </c>
      <c r="H23" s="377">
        <f>IF($E$2&gt;H$8,'Montants réalisés'!F15,'Equilibre prévisionnel'!H18)</f>
        <v>73.841666666666697</v>
      </c>
      <c r="I23" s="37"/>
      <c r="J23" s="38"/>
    </row>
    <row r="24" spans="2:11" ht="15.95" customHeight="1" thickBot="1" x14ac:dyDescent="0.3">
      <c r="B24" s="640"/>
      <c r="C24" s="372" t="s">
        <v>304</v>
      </c>
      <c r="D24" s="373"/>
      <c r="E24" s="374">
        <f>'Equilibre prévisionnel'!E19</f>
        <v>29.779802933333333</v>
      </c>
      <c r="F24" s="583">
        <f>'Equilibre prévisionnel'!F19</f>
        <v>29.838267629333298</v>
      </c>
      <c r="G24" s="374">
        <f>'Equilibre prévisionnel'!G19</f>
        <v>29.909126840885332</v>
      </c>
      <c r="H24" s="374">
        <f>'Equilibre prévisionnel'!H19</f>
        <v>29.998763743498614</v>
      </c>
      <c r="I24" s="252"/>
      <c r="J24" s="38"/>
    </row>
    <row r="25" spans="2:11" ht="15.95" customHeight="1" thickBot="1" x14ac:dyDescent="0.3">
      <c r="B25" s="640"/>
      <c r="C25" s="372" t="s">
        <v>324</v>
      </c>
      <c r="D25" s="378"/>
      <c r="E25" s="377">
        <f>IF($E$2&gt;E$8,MAX(0, 'Montants réalisés'!C17-9),0)</f>
        <v>0</v>
      </c>
      <c r="F25" s="377">
        <f>IF($E$2&gt;F$8,MAX(0, 'Montants réalisés'!D17-9),0)</f>
        <v>0</v>
      </c>
      <c r="G25" s="377">
        <f>IF($E$2&gt;G$8,MAX(0, 'Montants réalisés'!E17-9),0)</f>
        <v>0</v>
      </c>
      <c r="H25" s="377">
        <f>IF($E$2&gt;H$8,MAX(0, 'Montants réalisés'!F17-9),0)</f>
        <v>0</v>
      </c>
      <c r="I25" s="252"/>
      <c r="J25" s="38"/>
      <c r="K25" s="46"/>
    </row>
    <row r="26" spans="2:11" ht="27.75" thickBot="1" x14ac:dyDescent="0.3">
      <c r="B26" s="640"/>
      <c r="C26" s="372" t="s">
        <v>271</v>
      </c>
      <c r="D26" s="373"/>
      <c r="E26" s="374">
        <f>IF($E$2&gt;E$8,'Montants réalisés'!C18,'Equilibre prévisionnel'!E20)</f>
        <v>3.1</v>
      </c>
      <c r="F26" s="374">
        <f>IF($E$2&gt;F$8,'Montants réalisés'!D18,'Equilibre prévisionnel'!F20)</f>
        <v>0</v>
      </c>
      <c r="G26" s="374">
        <f>IF($E$2&gt;G$8,'Montants réalisés'!E18,'Equilibre prévisionnel'!G20)</f>
        <v>0</v>
      </c>
      <c r="H26" s="374">
        <f>IF($E$2&gt;H$8,'Montants réalisés'!F18,'Equilibre prévisionnel'!H20)</f>
        <v>0</v>
      </c>
      <c r="I26" s="37"/>
      <c r="J26" s="38"/>
    </row>
    <row r="27" spans="2:11" ht="31.5" customHeight="1" thickBot="1" x14ac:dyDescent="0.3">
      <c r="B27" s="640"/>
      <c r="C27" s="372" t="s">
        <v>274</v>
      </c>
      <c r="D27" s="373"/>
      <c r="E27" s="374">
        <f>IF($E$2&gt;E$8,'Montants réalisés'!C19,'Equilibre prévisionnel'!E21)</f>
        <v>-14.37887025</v>
      </c>
      <c r="F27" s="374">
        <f>IF($E$2&gt;F$8,'Montants réalisés'!D19,'Equilibre prévisionnel'!F21)</f>
        <v>-17.123417910000001</v>
      </c>
      <c r="G27" s="374">
        <f>IF($E$2&gt;G$8,'Montants réalisés'!E19,'Equilibre prévisionnel'!G21)</f>
        <v>0</v>
      </c>
      <c r="H27" s="374">
        <f>IF($E$2&gt;H$8,'Montants réalisés'!F19,'Equilibre prévisionnel'!H21)</f>
        <v>0</v>
      </c>
      <c r="I27" s="37"/>
      <c r="J27" s="38"/>
    </row>
    <row r="28" spans="2:11" ht="27.75" thickBot="1" x14ac:dyDescent="0.3">
      <c r="B28" s="640"/>
      <c r="C28" s="372" t="s">
        <v>247</v>
      </c>
      <c r="D28" s="373"/>
      <c r="E28" s="374">
        <f>IF($E$2&gt;E$8,'Montants réalisés'!C20,'Equilibre prévisionnel'!E22)</f>
        <v>0</v>
      </c>
      <c r="F28" s="374">
        <f>IF($E$2&gt;F$8,'Montants réalisés'!D20,'Equilibre prévisionnel'!F22)</f>
        <v>0</v>
      </c>
      <c r="G28" s="374">
        <f>IF($E$2&gt;G$8,'Montants réalisés'!E20,'Equilibre prévisionnel'!G22)</f>
        <v>0</v>
      </c>
      <c r="H28" s="374">
        <f>IF($E$2&gt;H$8,'Montants réalisés'!F20,'Equilibre prévisionnel'!H22)</f>
        <v>0</v>
      </c>
      <c r="I28" s="37"/>
      <c r="J28" s="38"/>
      <c r="K28" s="46"/>
    </row>
    <row r="29" spans="2:11" ht="16.5" thickBot="1" x14ac:dyDescent="0.3">
      <c r="B29" s="640"/>
      <c r="C29" s="258" t="s">
        <v>269</v>
      </c>
      <c r="D29" s="373"/>
      <c r="E29" s="374">
        <f>IF($E$2&gt;E$8,'Montants réalisés'!C21,'Equilibre prévisionnel'!E23)</f>
        <v>0</v>
      </c>
      <c r="F29" s="374">
        <f>IF($E$2&gt;F$8,'Montants réalisés'!D21,'Equilibre prévisionnel'!F23)</f>
        <v>0</v>
      </c>
      <c r="G29" s="374">
        <f>IF($E$2&gt;G$8,'Montants réalisés'!E21,'Equilibre prévisionnel'!G23)</f>
        <v>0</v>
      </c>
      <c r="H29" s="374">
        <f>IF($E$2&gt;H$8,'Montants réalisés'!F21,'Equilibre prévisionnel'!H23)</f>
        <v>0</v>
      </c>
      <c r="I29" s="37"/>
      <c r="J29" s="38"/>
      <c r="K29" s="38"/>
    </row>
    <row r="30" spans="2:11" ht="27.75" thickBot="1" x14ac:dyDescent="0.3">
      <c r="B30" s="640"/>
      <c r="C30" s="372" t="s">
        <v>325</v>
      </c>
      <c r="D30" s="373"/>
      <c r="E30" s="374">
        <f>IF($E$2&gt;E$8,'Montants réalisés'!C23,'Equilibre prévisionnel'!E24)</f>
        <v>0</v>
      </c>
      <c r="F30" s="374">
        <f>IF($E$2&gt;F$8,'Montants réalisés'!D23,'Equilibre prévisionnel'!F24)</f>
        <v>0</v>
      </c>
      <c r="G30" s="374">
        <f>IF($E$2&gt;G$8,'Montants réalisés'!E23,'Equilibre prévisionnel'!G24)</f>
        <v>0</v>
      </c>
      <c r="H30" s="374">
        <f>IF($E$2&gt;H$8,'Montants réalisés'!F23,'Equilibre prévisionnel'!H24)</f>
        <v>0</v>
      </c>
      <c r="I30" s="37"/>
      <c r="J30" s="38"/>
    </row>
    <row r="31" spans="2:11" ht="15.95" customHeight="1" thickBot="1" x14ac:dyDescent="0.3">
      <c r="B31" s="640"/>
      <c r="C31" s="379" t="s">
        <v>248</v>
      </c>
      <c r="D31" s="373"/>
      <c r="E31" s="374"/>
      <c r="F31" s="374"/>
      <c r="G31" s="374"/>
      <c r="H31" s="374"/>
      <c r="I31" s="37"/>
      <c r="J31" s="38"/>
    </row>
    <row r="32" spans="2:11" ht="15.95" customHeight="1" thickBot="1" x14ac:dyDescent="0.3">
      <c r="B32" s="640"/>
      <c r="C32" s="379" t="s">
        <v>292</v>
      </c>
      <c r="D32" s="373"/>
      <c r="E32" s="434">
        <v>0</v>
      </c>
      <c r="F32" s="374"/>
      <c r="G32" s="374"/>
      <c r="H32" s="374"/>
      <c r="I32" s="433"/>
      <c r="J32" s="38"/>
    </row>
    <row r="33" spans="2:11" ht="15.95" customHeight="1" thickBot="1" x14ac:dyDescent="0.3">
      <c r="B33" s="640"/>
      <c r="C33" s="379" t="s">
        <v>270</v>
      </c>
      <c r="D33" s="373"/>
      <c r="E33" s="374">
        <f>'Equilibre prévisionnel'!E72</f>
        <v>82.000438802203462</v>
      </c>
      <c r="F33" s="374">
        <f>'Equilibre prévisionnel'!F72</f>
        <v>17.004914674816064</v>
      </c>
      <c r="G33" s="374">
        <f>'Equilibre prévisionnel'!G72</f>
        <v>-21.725911684010498</v>
      </c>
      <c r="H33" s="374">
        <f>'Equilibre prévisionnel'!H72</f>
        <v>-81.752552650656071</v>
      </c>
      <c r="I33" s="37"/>
      <c r="J33" s="38"/>
    </row>
    <row r="34" spans="2:11" ht="15.95" customHeight="1" thickBot="1" x14ac:dyDescent="0.3">
      <c r="B34" s="640"/>
      <c r="D34" s="29"/>
      <c r="E34" s="29"/>
      <c r="F34" s="29"/>
      <c r="G34" s="29"/>
      <c r="H34" s="29"/>
      <c r="I34" s="37"/>
      <c r="J34" s="38"/>
    </row>
    <row r="35" spans="2:11" ht="15.95" customHeight="1" thickBot="1" x14ac:dyDescent="0.3">
      <c r="B35" s="640"/>
      <c r="C35" s="343" t="s">
        <v>106</v>
      </c>
      <c r="D35" s="149"/>
      <c r="E35" s="149"/>
      <c r="F35" s="149"/>
      <c r="G35" s="149"/>
      <c r="H35" s="149"/>
      <c r="I35" s="38"/>
      <c r="J35" s="317"/>
    </row>
    <row r="36" spans="2:11" ht="15.95" customHeight="1" thickBot="1" x14ac:dyDescent="0.3">
      <c r="B36" s="640"/>
      <c r="C36" s="372" t="s">
        <v>273</v>
      </c>
      <c r="D36" s="373"/>
      <c r="E36" s="374">
        <f>IF($E$2&gt;E$8,'Montants réalisés'!C26,'Equilibre prévisionnel'!E26)</f>
        <v>-777.76097722999998</v>
      </c>
      <c r="F36" s="374">
        <f>IF($E$2&gt;F$8,'Montants réalisés'!D26,'Equilibre prévisionnel'!F26)</f>
        <v>-2590.9</v>
      </c>
      <c r="G36" s="374">
        <f>IF($E$2&gt;G$8,'Montants réalisés'!E26,'Equilibre prévisionnel'!G26)</f>
        <v>-343.4</v>
      </c>
      <c r="H36" s="374">
        <f>IF($E$2&gt;H$8,'Montants réalisés'!F26,'Equilibre prévisionnel'!H26)</f>
        <v>-341.50000000000006</v>
      </c>
      <c r="I36" s="35"/>
      <c r="J36" s="38"/>
    </row>
    <row r="37" spans="2:11" ht="15.95" customHeight="1" thickBot="1" x14ac:dyDescent="0.3">
      <c r="B37" s="640"/>
      <c r="C37" s="372" t="s">
        <v>249</v>
      </c>
      <c r="D37" s="373"/>
      <c r="E37" s="377">
        <f>IF($E$2&gt;E$8,'Montants réalisés'!C27,'Equilibre prévisionnel'!E27)</f>
        <v>-0.41662281200000001</v>
      </c>
      <c r="F37" s="377">
        <f>IF($E$2&gt;F$8,'Montants réalisés'!D27,'Equilibre prévisionnel'!F27)</f>
        <v>1.7247995899999999</v>
      </c>
      <c r="G37" s="377">
        <f>IF($E$2&gt;G$8,'Montants réalisés'!E27,'Equilibre prévisionnel'!G27)</f>
        <v>-0.20200000000000001</v>
      </c>
      <c r="H37" s="377">
        <f>IF($E$2&gt;H$8,'Montants réalisés'!F27,'Equilibre prévisionnel'!H27)</f>
        <v>-0.20200000000000001</v>
      </c>
      <c r="I37" s="35"/>
      <c r="J37" s="38"/>
    </row>
    <row r="38" spans="2:11" ht="15.95" customHeight="1" thickBot="1" x14ac:dyDescent="0.3">
      <c r="B38" s="640"/>
      <c r="C38" s="372" t="s">
        <v>250</v>
      </c>
      <c r="D38" s="373"/>
      <c r="E38" s="377">
        <f>IF($E$2&gt;E$8,'Montants réalisés'!C28,'Equilibre prévisionnel'!E28)</f>
        <v>-6.2645624599999996</v>
      </c>
      <c r="F38" s="377">
        <f>IF($E$2&gt;F$8,'Montants réalisés'!D28,'Equilibre prévisionnel'!F28)</f>
        <v>-15.406411050000001</v>
      </c>
      <c r="G38" s="377">
        <f>IF($E$2&gt;G$8,'Montants réalisés'!E28,'Equilibre prévisionnel'!G28)</f>
        <v>-14.266666666666666</v>
      </c>
      <c r="H38" s="377">
        <f>IF($E$2&gt;H$8,'Montants réalisés'!F28,'Equilibre prévisionnel'!H28)</f>
        <v>-14.266666666666666</v>
      </c>
      <c r="I38" s="37"/>
      <c r="J38" s="38"/>
    </row>
    <row r="39" spans="2:11" s="4" customFormat="1" ht="15.95" customHeight="1" thickBot="1" x14ac:dyDescent="0.3">
      <c r="B39" s="640"/>
      <c r="C39" s="585" t="s">
        <v>251</v>
      </c>
      <c r="D39" s="586"/>
      <c r="E39" s="587">
        <f>IF($E$2&gt;E$8,'Equilibre prévisionnel'!E29+80%*('Montants réalisés'!C29-'Equilibre prévisionnel'!E29),'Equilibre prévisionnel'!E29)</f>
        <v>-9.3125555626666667</v>
      </c>
      <c r="F39" s="587">
        <f>IF($E$2&gt;F$8,'Equilibre prévisionnel'!F29+80%*('Montants réalisés'!D29-'Equilibre prévisionnel'!F29),'Equilibre prévisionnel'!F29)</f>
        <v>-28.641875946666669</v>
      </c>
      <c r="G39" s="587">
        <f>IF($E$2&gt;G$8,'Equilibre prévisionnel'!G29+80%*('Montants réalisés'!E29-'Equilibre prévisionnel'!G29),'Equilibre prévisionnel'!G29)</f>
        <v>-11.233333333333334</v>
      </c>
      <c r="H39" s="587">
        <f>IF($E$2&gt;H$8,'Equilibre prévisionnel'!H29+80%*('Montants réalisés'!F29-'Equilibre prévisionnel'!H29),'Equilibre prévisionnel'!H29)</f>
        <v>-11.233333333333334</v>
      </c>
      <c r="I39" s="588"/>
      <c r="J39" s="589"/>
      <c r="K39" s="590"/>
    </row>
    <row r="40" spans="2:11" ht="15.95" customHeight="1" thickBot="1" x14ac:dyDescent="0.3">
      <c r="B40" s="640"/>
      <c r="C40" s="372" t="s">
        <v>252</v>
      </c>
      <c r="D40" s="373"/>
      <c r="E40" s="377">
        <f>IF($E$2&gt;E$8,'Montants réalisés'!C30+'Montants réalisés'!C22,'Equilibre prévisionnel'!E30)</f>
        <v>-0.24640000000000004</v>
      </c>
      <c r="F40" s="597">
        <f>IF($E$2&gt;F$8,'Montants réalisés'!D30+'Montants réalisés'!D22,'Equilibre prévisionnel'!F30)</f>
        <v>-0.41321184799999999</v>
      </c>
      <c r="G40" s="377">
        <f>IF($E$2&gt;G$8,'Montants réalisés'!E30+'Montants réalisés'!E22,'Equilibre prévisionnel'!G30)</f>
        <v>0</v>
      </c>
      <c r="H40" s="377">
        <f>IF($E$2&gt;H$8,'Montants réalisés'!F30+'Montants réalisés'!F22,'Equilibre prévisionnel'!H30)</f>
        <v>0</v>
      </c>
      <c r="I40" s="37"/>
      <c r="J40" s="38"/>
      <c r="K40" s="316"/>
    </row>
    <row r="41" spans="2:11" ht="16.5" thickBot="1" x14ac:dyDescent="0.3">
      <c r="B41" s="640"/>
      <c r="C41" s="379" t="s">
        <v>253</v>
      </c>
      <c r="D41" s="373"/>
      <c r="E41" s="377">
        <f>IF($E$2&gt;E$8,'Montants réalisés'!C31,'Equilibre prévisionnel'!E31)</f>
        <v>0</v>
      </c>
      <c r="F41" s="377">
        <f>IF($E$2&gt;F$8,'Montants réalisés'!D31,'Equilibre prévisionnel'!F31)</f>
        <v>0</v>
      </c>
      <c r="G41" s="377">
        <f>IF($E$2&gt;G$8,'Montants réalisés'!E31,'Equilibre prévisionnel'!G31)</f>
        <v>0</v>
      </c>
      <c r="H41" s="377">
        <f>IF($E$2&gt;H$8,'Montants réalisés'!F31,'Equilibre prévisionnel'!H31)</f>
        <v>0</v>
      </c>
      <c r="I41" s="37"/>
      <c r="J41" s="38"/>
    </row>
    <row r="42" spans="2:11" ht="15.95" customHeight="1" thickBot="1" x14ac:dyDescent="0.3">
      <c r="B42" s="640"/>
      <c r="C42" s="149"/>
      <c r="D42" s="149"/>
      <c r="E42" s="149"/>
      <c r="F42" s="149"/>
      <c r="G42" s="149"/>
      <c r="H42" s="149"/>
      <c r="I42" s="37"/>
      <c r="J42" s="39"/>
    </row>
    <row r="43" spans="2:11" ht="15.95" customHeight="1" thickBot="1" x14ac:dyDescent="0.3">
      <c r="B43" s="640"/>
      <c r="C43" s="148" t="s">
        <v>254</v>
      </c>
      <c r="D43" s="149"/>
      <c r="E43" s="149"/>
      <c r="F43" s="149"/>
      <c r="G43" s="149"/>
      <c r="H43" s="149"/>
      <c r="I43" s="37"/>
      <c r="J43" s="39"/>
    </row>
    <row r="44" spans="2:11" ht="15.95" customHeight="1" thickBot="1" x14ac:dyDescent="0.3">
      <c r="B44" s="640"/>
      <c r="C44" s="380" t="s">
        <v>266</v>
      </c>
      <c r="D44" s="373"/>
      <c r="E44" s="374">
        <f>IF($E$2&gt;E$8,'Montants réalisés'!C34,'Equilibre prévisionnel'!E33)</f>
        <v>1.526</v>
      </c>
      <c r="F44" s="374">
        <f>IF($E$2&gt;F$8,'Montants réalisés'!D34,'Equilibre prévisionnel'!F33)</f>
        <v>3.2719999999999998</v>
      </c>
      <c r="G44" s="374">
        <f>IF($E$2&gt;G$8,'Montants réalisés'!E34,'Equilibre prévisionnel'!G33)</f>
        <v>0</v>
      </c>
      <c r="H44" s="374">
        <f>IF($E$2&gt;H$8,'Montants réalisés'!F34,'Equilibre prévisionnel'!H33)</f>
        <v>0</v>
      </c>
      <c r="I44" s="37"/>
      <c r="J44" s="38"/>
      <c r="K44" s="316"/>
    </row>
    <row r="45" spans="2:11" ht="15.95" customHeight="1" thickBot="1" x14ac:dyDescent="0.3">
      <c r="B45" s="640"/>
      <c r="C45" s="380" t="s">
        <v>284</v>
      </c>
      <c r="D45" s="373"/>
      <c r="E45" s="374">
        <f>IF($E$2&gt;E$8,'Montants réalisés'!C35,'Equilibre prévisionnel'!E34)</f>
        <v>-9.9399999999999977</v>
      </c>
      <c r="F45" s="374">
        <f>IF($E$2&gt;F$8,'Montants réalisés'!D35,'Equilibre prévisionnel'!F34)</f>
        <v>-0.87</v>
      </c>
      <c r="G45" s="374">
        <f>IF($E$2&gt;G$8,'Montants réalisés'!E35,'Equilibre prévisionnel'!G34)</f>
        <v>0</v>
      </c>
      <c r="H45" s="374">
        <f>IF($E$2&gt;H$8,'Montants réalisés'!F35,'Equilibre prévisionnel'!H34)</f>
        <v>0</v>
      </c>
      <c r="I45" s="37"/>
      <c r="J45" s="38"/>
    </row>
    <row r="46" spans="2:11" ht="15.95" customHeight="1" thickBot="1" x14ac:dyDescent="0.3">
      <c r="B46" s="640"/>
      <c r="C46" s="380" t="s">
        <v>275</v>
      </c>
      <c r="D46" s="373"/>
      <c r="E46" s="374">
        <f>IF($E$2&gt;E$8,'Montants réalisés'!C36,'Equilibre prévisionnel'!E35)</f>
        <v>0</v>
      </c>
      <c r="F46" s="374">
        <f>IF($E$2&gt;F$8,'Montants réalisés'!D36,'Equilibre prévisionnel'!F35)</f>
        <v>0</v>
      </c>
      <c r="G46" s="374">
        <f>IF($E$2&gt;G$8,'Montants réalisés'!E36,'Equilibre prévisionnel'!G35)</f>
        <v>0</v>
      </c>
      <c r="H46" s="374">
        <f>IF($E$2&gt;H$8,'Montants réalisés'!F36,'Equilibre prévisionnel'!H35)</f>
        <v>0</v>
      </c>
      <c r="I46" s="37"/>
      <c r="J46" s="38"/>
    </row>
    <row r="47" spans="2:11" ht="15.95" customHeight="1" thickBot="1" x14ac:dyDescent="0.3">
      <c r="B47" s="640"/>
      <c r="C47" s="380" t="s">
        <v>64</v>
      </c>
      <c r="D47" s="373"/>
      <c r="E47" s="374">
        <f>IF($E$2&gt;E$8,'Montants réalisés'!C37,'Equilibre prévisionnel'!E36)</f>
        <v>2.0565609999999999</v>
      </c>
      <c r="F47" s="374">
        <f>IF($E$2&gt;F$8,'Montants réalisés'!D37,'Equilibre prévisionnel'!F36)</f>
        <v>7.2300000000000003E-2</v>
      </c>
      <c r="G47" s="374">
        <f>IF($E$2&gt;G$8,'Montants réalisés'!E37,'Equilibre prévisionnel'!G36)</f>
        <v>0</v>
      </c>
      <c r="H47" s="374">
        <f>IF($E$2&gt;H$8,'Montants réalisés'!F37,'Equilibre prévisionnel'!H36)</f>
        <v>0</v>
      </c>
      <c r="I47" s="37"/>
      <c r="J47" s="38"/>
      <c r="K47" s="316"/>
    </row>
    <row r="48" spans="2:11" ht="15.95" customHeight="1" thickBot="1" x14ac:dyDescent="0.3">
      <c r="B48" s="640"/>
      <c r="C48" s="380" t="s">
        <v>285</v>
      </c>
      <c r="D48" s="373"/>
      <c r="E48" s="374">
        <f>IF($E$2&gt;E$8,'Montants réalisés'!C38,'Equilibre prévisionnel'!E37)</f>
        <v>-5.8859999999999948</v>
      </c>
      <c r="F48" s="374">
        <f>IF($E$2&gt;F$8,'Montants réalisés'!D38,'Equilibre prévisionnel'!F37)</f>
        <v>0</v>
      </c>
      <c r="G48" s="374">
        <f>IF($E$2&gt;G$8,'Montants réalisés'!E38,'Equilibre prévisionnel'!G37)</f>
        <v>0</v>
      </c>
      <c r="H48" s="374">
        <f>IF($E$2&gt;H$8,'Montants réalisés'!F38,'Equilibre prévisionnel'!H37)</f>
        <v>0</v>
      </c>
      <c r="I48" s="40"/>
      <c r="J48" s="38"/>
    </row>
    <row r="49" spans="2:16" ht="15.95" customHeight="1" thickBot="1" x14ac:dyDescent="0.3">
      <c r="B49" s="640"/>
      <c r="C49" s="380" t="s">
        <v>286</v>
      </c>
      <c r="D49" s="373"/>
      <c r="E49" s="374">
        <f>IF($E$2&gt;E$8,'Montants réalisés'!C39,'Equilibre prévisionnel'!E38)</f>
        <v>0</v>
      </c>
      <c r="F49" s="374">
        <f>IF($E$2&gt;F$8,'Montants réalisés'!D39,'Equilibre prévisionnel'!F38)</f>
        <v>0</v>
      </c>
      <c r="G49" s="374">
        <f>IF($E$2&gt;G$8,'Montants réalisés'!E39,'Equilibre prévisionnel'!G38)</f>
        <v>0</v>
      </c>
      <c r="H49" s="374">
        <f>IF($E$2&gt;H$8,'Montants réalisés'!F39,'Equilibre prévisionnel'!H38)</f>
        <v>0</v>
      </c>
      <c r="I49" s="40"/>
      <c r="J49" s="38"/>
      <c r="K49" s="316"/>
      <c r="M49" s="345"/>
      <c r="N49" s="345"/>
      <c r="O49" s="345"/>
      <c r="P49" s="345"/>
    </row>
    <row r="50" spans="2:16" ht="15.95" customHeight="1" thickBot="1" x14ac:dyDescent="0.3">
      <c r="B50" s="640"/>
      <c r="C50" s="380" t="s">
        <v>287</v>
      </c>
      <c r="D50" s="373"/>
      <c r="E50" s="374">
        <f>IF($E$2&gt;E$8,'Montants réalisés'!C40,'Equilibre prévisionnel'!E39)</f>
        <v>0</v>
      </c>
      <c r="F50" s="374">
        <f>IF($E$2&gt;F$8,'Montants réalisés'!D40,'Equilibre prévisionnel'!F39)</f>
        <v>0</v>
      </c>
      <c r="G50" s="374">
        <f>IF($E$2&gt;G$8,'Montants réalisés'!E40,'Equilibre prévisionnel'!G39)</f>
        <v>0</v>
      </c>
      <c r="H50" s="374">
        <f>IF($E$2&gt;H$8,'Montants réalisés'!F40,'Equilibre prévisionnel'!H39)</f>
        <v>0</v>
      </c>
      <c r="I50" s="40"/>
      <c r="J50" s="38"/>
      <c r="K50" s="316"/>
      <c r="M50" s="345"/>
      <c r="N50" s="345"/>
      <c r="O50" s="345"/>
      <c r="P50" s="345"/>
    </row>
    <row r="51" spans="2:16" ht="15.95" customHeight="1" thickBot="1" x14ac:dyDescent="0.3">
      <c r="B51" s="640"/>
      <c r="C51" s="156"/>
      <c r="D51" s="157"/>
      <c r="E51" s="157"/>
      <c r="F51" s="157"/>
      <c r="G51" s="157"/>
      <c r="H51" s="157"/>
      <c r="I51" s="40"/>
      <c r="J51" s="32"/>
      <c r="M51" s="347"/>
      <c r="N51" s="347"/>
      <c r="O51" s="347"/>
      <c r="P51" s="347"/>
    </row>
    <row r="52" spans="2:16" ht="15.95" customHeight="1" thickBot="1" x14ac:dyDescent="0.3">
      <c r="B52" s="640"/>
      <c r="C52" s="156" t="s">
        <v>288</v>
      </c>
      <c r="D52" s="50"/>
      <c r="E52" s="59">
        <f>'Equilibre prévisionnel'!E41</f>
        <v>1.4993338593489904</v>
      </c>
      <c r="F52" s="59">
        <f>'Equilibre prévisionnel'!F41</f>
        <v>1.4993338593489904</v>
      </c>
      <c r="G52" s="59">
        <f>'Equilibre prévisionnel'!G41</f>
        <v>1.4993338593489904</v>
      </c>
      <c r="H52" s="59">
        <f>'Equilibre prévisionnel'!H41</f>
        <v>1.4993338593489904</v>
      </c>
      <c r="I52" s="40"/>
      <c r="J52" s="38"/>
    </row>
    <row r="53" spans="2:16" ht="15.95" customHeight="1" thickBot="1" x14ac:dyDescent="0.3">
      <c r="B53" s="640"/>
      <c r="C53" s="148"/>
      <c r="D53" s="149"/>
      <c r="E53" s="149"/>
      <c r="F53" s="149"/>
      <c r="G53" s="149"/>
      <c r="H53" s="149"/>
      <c r="J53" s="38"/>
    </row>
    <row r="54" spans="2:16" ht="15.95" customHeight="1" thickBot="1" x14ac:dyDescent="0.3">
      <c r="B54" s="641"/>
      <c r="C54" s="49" t="s">
        <v>330</v>
      </c>
      <c r="D54" s="50"/>
      <c r="E54" s="51">
        <f>SUM(E17:E33)+SUM(E36:E41)+SUM(E44:E50)+E52</f>
        <v>4136.0758363837058</v>
      </c>
      <c r="F54" s="51">
        <f>SUM(F17:F33)+SUM(F36:F41)+SUM(F44:F50)+F52</f>
        <v>2464.477824786291</v>
      </c>
      <c r="G54" s="344">
        <f>SUM(G17:G33)+SUM(G36:G41)+SUM(G44:G50)+G52</f>
        <v>4525.9841738648083</v>
      </c>
      <c r="H54" s="344">
        <f>SUM(H17:H33)+SUM(H36:H41)+SUM(H44:H50)+H52</f>
        <v>4613.2021663390433</v>
      </c>
      <c r="J54" s="38"/>
    </row>
    <row r="55" spans="2:16" ht="10.9" customHeight="1" thickBot="1" x14ac:dyDescent="0.3">
      <c r="B55" s="139"/>
      <c r="C55" s="41"/>
      <c r="D55" s="42"/>
      <c r="E55" s="43"/>
      <c r="F55" s="43"/>
      <c r="G55" s="43"/>
      <c r="H55" s="43" t="s">
        <v>107</v>
      </c>
      <c r="J55" s="32"/>
    </row>
    <row r="56" spans="2:16" ht="21.6" customHeight="1" thickBot="1" x14ac:dyDescent="0.3">
      <c r="B56" s="594" t="s">
        <v>68</v>
      </c>
      <c r="C56" s="54" t="s">
        <v>108</v>
      </c>
      <c r="D56" s="168"/>
      <c r="E56" s="328">
        <v>2021</v>
      </c>
      <c r="F56" s="328">
        <v>2022</v>
      </c>
      <c r="G56" s="328">
        <v>2023</v>
      </c>
      <c r="H56" s="328">
        <v>2024</v>
      </c>
      <c r="I56" s="328">
        <v>2025</v>
      </c>
      <c r="J56" s="32"/>
    </row>
    <row r="57" spans="2:16" ht="18.75" thickBot="1" x14ac:dyDescent="0.3">
      <c r="B57" s="595"/>
      <c r="C57" s="360" t="s">
        <v>109</v>
      </c>
      <c r="D57" s="158"/>
      <c r="E57" s="361">
        <v>-10.199999999999999</v>
      </c>
      <c r="F57" s="52">
        <f>E67+E68</f>
        <v>-215.25569846677146</v>
      </c>
      <c r="G57" s="573">
        <f>F67+F68</f>
        <v>51.511400917871256</v>
      </c>
      <c r="H57" s="52">
        <f>G67+G68</f>
        <v>142.4353877267786</v>
      </c>
      <c r="I57" s="52">
        <f>H67+H68</f>
        <v>101.40296930970852</v>
      </c>
      <c r="J57" s="358"/>
    </row>
    <row r="58" spans="2:16" ht="16.5" thickBot="1" x14ac:dyDescent="0.3">
      <c r="B58" s="595"/>
      <c r="C58" s="408" t="s">
        <v>343</v>
      </c>
      <c r="D58" s="158"/>
      <c r="E58" s="409">
        <f>E57+(E60-E62)</f>
        <v>9.6208732843213518</v>
      </c>
      <c r="F58" s="409">
        <f>F57+(F60-F62)</f>
        <v>-76.978516315486303</v>
      </c>
      <c r="G58" s="409">
        <f>G57+(G60-G62)</f>
        <v>140.0544618749052</v>
      </c>
      <c r="H58" s="409">
        <f t="shared" ref="H58" si="1">H57+(H60-H62)</f>
        <v>99.707934424493061</v>
      </c>
      <c r="I58" s="359"/>
      <c r="J58" s="358"/>
    </row>
    <row r="59" spans="2:16" ht="16.5" thickBot="1" x14ac:dyDescent="0.3">
      <c r="B59" s="595"/>
      <c r="C59" s="331" t="s">
        <v>330</v>
      </c>
      <c r="D59" s="53"/>
      <c r="E59" s="59">
        <f>E54</f>
        <v>4136.0758363837058</v>
      </c>
      <c r="F59" s="59">
        <f>F54</f>
        <v>2464.477824786291</v>
      </c>
      <c r="G59" s="59">
        <f t="shared" ref="G59:H59" si="2">G54</f>
        <v>4525.9841738648083</v>
      </c>
      <c r="H59" s="59">
        <f t="shared" si="2"/>
        <v>4613.2021663390433</v>
      </c>
      <c r="I59" s="242"/>
      <c r="J59" s="242"/>
    </row>
    <row r="60" spans="2:16" ht="16.5" thickBot="1" x14ac:dyDescent="0.3">
      <c r="B60" s="595"/>
      <c r="C60" s="385" t="s">
        <v>315</v>
      </c>
      <c r="D60" s="53"/>
      <c r="E60" s="150">
        <f>'Equilibre prévisionnel'!E48-'Equilibre prévisionnel'!E11+'Equilibre prévisionnel'!E11*E11/E12+'Equilibre prévisionnel'!E72</f>
        <v>4314.2529430574023</v>
      </c>
      <c r="F60" s="150">
        <f>'Equilibre prévisionnel'!F48-'Equilibre prévisionnel'!F11+'Equilibre prévisionnel'!F11*F11/F12+'Equilibre prévisionnel'!F72</f>
        <v>4455.0572845301294</v>
      </c>
      <c r="G60" s="150">
        <f>'Equilibre prévisionnel'!G48-'Equilibre prévisionnel'!G11+'Equilibre prévisionnel'!G11*G11/G12+'Equilibre prévisionnel'!G72</f>
        <v>4525.9841738648083</v>
      </c>
      <c r="H60" s="150">
        <f>'Equilibre prévisionnel'!H48-'Equilibre prévisionnel'!H11+'Equilibre prévisionnel'!H11*H11/H12+'Equilibre prévisionnel'!H72</f>
        <v>4613.2021663390442</v>
      </c>
      <c r="J60" s="242"/>
    </row>
    <row r="61" spans="2:16" ht="16.5" thickBot="1" x14ac:dyDescent="0.3">
      <c r="B61" s="595"/>
      <c r="C61" s="331" t="s">
        <v>316</v>
      </c>
      <c r="D61" s="53"/>
      <c r="E61" s="150">
        <f>IF($E$2&gt;E$8,'Montants réalisés'!C47,7/12*'Equilibre prévisionnel'!E54*D85+5/12*'Equilibre prévisionnel'!E54*E85+'Equilibre prévisionnel'!E60)</f>
        <v>4337.5333570000003</v>
      </c>
      <c r="F61" s="150">
        <f>IF($E$2&gt;F$8,'Montants réalisés'!D47,7/12*'Equilibre prévisionnel'!F54*E85+5/12*'Equilibre prévisionnel'!F54*F85+'Equilibre prévisionnel'!F60)</f>
        <v>2188.7259552400001</v>
      </c>
      <c r="G61" s="150">
        <f>IF($E$2&gt;G$8,'Montants réalisés'!E47,7/12*'Equilibre prévisionnel'!G54*F85+5/12*'Equilibre prévisionnel'!G54*G85+'Equilibre prévisionnel'!G60)</f>
        <v>4437.4411129077744</v>
      </c>
      <c r="H61" s="150">
        <f>IF($E$2&gt;H$8,'Montants réalisés'!F47,7/12*'Equilibre prévisionnel'!H54*G85+5/12*'Equilibre prévisionnel'!H54*H85+'Equilibre prévisionnel'!H60)</f>
        <v>4655.9296196413297</v>
      </c>
      <c r="I61" s="44"/>
      <c r="J61" s="242"/>
    </row>
    <row r="62" spans="2:16" ht="16.5" thickBot="1" x14ac:dyDescent="0.3">
      <c r="B62" s="595"/>
      <c r="C62" s="385" t="s">
        <v>317</v>
      </c>
      <c r="D62" s="53"/>
      <c r="E62" s="59">
        <f>7/12*'Equilibre prévisionnel'!E54*D85+5/12*'Equilibre prévisionnel'!E54*E85+'Equilibre prévisionnel'!E60</f>
        <v>4294.4320697730809</v>
      </c>
      <c r="F62" s="59">
        <f>7/12*'Equilibre prévisionnel'!F54*E85+5/12*'Equilibre prévisionnel'!F54*F85+'Equilibre prévisionnel'!F60</f>
        <v>4316.7801023788443</v>
      </c>
      <c r="G62" s="59">
        <f>7/12*'Equilibre prévisionnel'!G54*F85+5/12*'Equilibre prévisionnel'!G54*G85+'Equilibre prévisionnel'!G60</f>
        <v>4437.4411129077744</v>
      </c>
      <c r="H62" s="59">
        <f>7/12*'Equilibre prévisionnel'!H54*G85+5/12*'Equilibre prévisionnel'!H54*H85+'Equilibre prévisionnel'!H60</f>
        <v>4655.9296196413297</v>
      </c>
      <c r="I62" s="44"/>
      <c r="J62" s="242"/>
    </row>
    <row r="63" spans="2:16" ht="16.5" thickBot="1" x14ac:dyDescent="0.3">
      <c r="B63" s="595"/>
      <c r="C63" s="407" t="s">
        <v>319</v>
      </c>
      <c r="D63" s="53"/>
      <c r="E63" s="443">
        <f>(E59-E60)-(E61-E62)</f>
        <v>-221.27839390061581</v>
      </c>
      <c r="F63" s="51">
        <f>(F59-F60)-(F61-F62)</f>
        <v>137.47468739500573</v>
      </c>
      <c r="G63" s="51">
        <f t="shared" ref="G63:H63" si="3">(G59-G60)-(G61-G62)</f>
        <v>0</v>
      </c>
      <c r="H63" s="51">
        <f t="shared" si="3"/>
        <v>-9.0949470177292824E-13</v>
      </c>
      <c r="I63" s="411"/>
      <c r="J63" s="242"/>
    </row>
    <row r="64" spans="2:16" ht="15.75" customHeight="1" thickBot="1" x14ac:dyDescent="0.3">
      <c r="B64" s="595"/>
      <c r="C64" s="331" t="s">
        <v>314</v>
      </c>
      <c r="D64" s="50"/>
      <c r="E64" s="159"/>
      <c r="F64" s="159"/>
      <c r="G64" s="159"/>
      <c r="H64" s="150">
        <f>IF($E$2&gt;H$8,'Montants réalisés'!F42,0)</f>
        <v>0</v>
      </c>
      <c r="J64" s="32"/>
    </row>
    <row r="65" spans="2:12" ht="15.75" customHeight="1" thickBot="1" x14ac:dyDescent="0.3">
      <c r="B65" s="595"/>
      <c r="C65" s="331" t="s">
        <v>278</v>
      </c>
      <c r="D65" s="50"/>
      <c r="E65" s="159"/>
      <c r="F65" s="159"/>
      <c r="G65" s="159"/>
      <c r="H65" s="150">
        <f>IF($E$2&gt;H$8,'Montants réalisés'!F43,0)</f>
        <v>0</v>
      </c>
      <c r="I65" s="44"/>
      <c r="J65" s="32"/>
    </row>
    <row r="66" spans="2:12" ht="15.75" customHeight="1" thickBot="1" x14ac:dyDescent="0.3">
      <c r="B66" s="595"/>
      <c r="C66" s="331" t="s">
        <v>320</v>
      </c>
      <c r="D66" s="50"/>
      <c r="E66" s="159"/>
      <c r="F66" s="159"/>
      <c r="G66" s="159"/>
      <c r="H66" s="150">
        <f>IF($E$2&gt;H$8,'Montants réalisés'!F44,0)</f>
        <v>0</v>
      </c>
      <c r="I66" s="44"/>
      <c r="J66" s="32"/>
    </row>
    <row r="67" spans="2:12" ht="15.75" customHeight="1" thickBot="1" x14ac:dyDescent="0.3">
      <c r="B67" s="595"/>
      <c r="C67" s="360" t="s">
        <v>318</v>
      </c>
      <c r="D67" s="151"/>
      <c r="E67" s="52">
        <f>E58+E63</f>
        <v>-211.65752061629445</v>
      </c>
      <c r="F67" s="592">
        <f>F58+F63+SUM(F64:F66)</f>
        <v>60.496171079519428</v>
      </c>
      <c r="G67" s="52">
        <f>G58+G63+SUM(G64:G66)</f>
        <v>140.0544618749052</v>
      </c>
      <c r="H67" s="52">
        <f>H58+H63+SUM(H64:H66)</f>
        <v>99.707934424492151</v>
      </c>
      <c r="I67" s="44"/>
      <c r="J67" s="32"/>
    </row>
    <row r="68" spans="2:12" ht="15.75" customHeight="1" thickBot="1" x14ac:dyDescent="0.3">
      <c r="B68" s="595"/>
      <c r="C68" s="338" t="s">
        <v>110</v>
      </c>
      <c r="D68" s="160"/>
      <c r="E68" s="59">
        <f>E67*$D$4</f>
        <v>-3.5981778504770059</v>
      </c>
      <c r="F68" s="606">
        <f>F67*$D$4-10.01320507</f>
        <v>-8.9847701616481697</v>
      </c>
      <c r="G68" s="59">
        <f>G67*$D$4</f>
        <v>2.3809258518733887</v>
      </c>
      <c r="H68" s="59">
        <f>H67*$D$4</f>
        <v>1.6950348852163668</v>
      </c>
      <c r="I68" s="44"/>
      <c r="J68" s="32"/>
    </row>
    <row r="69" spans="2:12" ht="18" customHeight="1" x14ac:dyDescent="0.25">
      <c r="B69" s="555"/>
      <c r="F69" s="599"/>
      <c r="J69" s="32"/>
    </row>
    <row r="70" spans="2:12" ht="15.75" customHeight="1" x14ac:dyDescent="0.25">
      <c r="B70" s="555"/>
      <c r="J70" s="32"/>
    </row>
    <row r="71" spans="2:12" ht="10.9" customHeight="1" thickBot="1" x14ac:dyDescent="0.3">
      <c r="B71" s="554"/>
      <c r="C71" s="32"/>
      <c r="J71" s="32"/>
    </row>
    <row r="72" spans="2:12" ht="21.6" customHeight="1" thickBot="1" x14ac:dyDescent="0.3">
      <c r="B72" s="642" t="s">
        <v>111</v>
      </c>
      <c r="C72" s="509" t="s">
        <v>112</v>
      </c>
      <c r="D72" s="455"/>
      <c r="E72" s="510">
        <v>2021</v>
      </c>
      <c r="F72" s="510">
        <v>2022</v>
      </c>
      <c r="G72" s="510">
        <v>2023</v>
      </c>
      <c r="H72" s="510">
        <v>2024</v>
      </c>
      <c r="I72" s="152"/>
    </row>
    <row r="73" spans="2:12" ht="18" customHeight="1" thickBot="1" x14ac:dyDescent="0.3">
      <c r="B73" s="643"/>
      <c r="C73" s="331" t="s">
        <v>332</v>
      </c>
      <c r="D73" s="410"/>
      <c r="E73" s="511"/>
      <c r="F73" s="540">
        <f>7/12*'Equilibre prévisionnel'!F54*(E87-E85)</f>
        <v>0</v>
      </c>
      <c r="G73" s="540">
        <f>7/12*'Equilibre prévisionnel'!G54*(F87-F85)</f>
        <v>36.910547460051333</v>
      </c>
      <c r="H73" s="540">
        <f>7/12*'Equilibre prévisionnel'!H54*(G87-G85)</f>
        <v>-85.621605239331799</v>
      </c>
      <c r="I73" s="411"/>
      <c r="J73" s="562"/>
      <c r="K73" s="47"/>
      <c r="L73" s="47"/>
    </row>
    <row r="74" spans="2:12" ht="16.5" thickBot="1" x14ac:dyDescent="0.3">
      <c r="B74" s="643"/>
      <c r="C74" s="386" t="s">
        <v>340</v>
      </c>
      <c r="D74" s="410"/>
      <c r="E74" s="512"/>
      <c r="F74" s="541">
        <f>F57+F73+(7/12)*('Equilibre prévisionnel'!F11)*('CRCP &amp; évolutions'!E11/'CRCP &amp; évolutions'!E12-1)</f>
        <v>-203.50939969226414</v>
      </c>
      <c r="G74" s="541">
        <f>G57+G73+(7/12)*('Equilibre prévisionnel'!G11)*('CRCP &amp; évolutions'!F11/'CRCP &amp; évolutions'!F12-1)</f>
        <v>154.16192303198818</v>
      </c>
      <c r="H74" s="541">
        <f>H57+H73+(7/12)*('Equilibre prévisionnel'!H11)*('CRCP &amp; évolutions'!G11/'CRCP &amp; évolutions'!G12-1)</f>
        <v>123.63006127801117</v>
      </c>
      <c r="I74" s="412"/>
      <c r="J74" s="563"/>
      <c r="K74" s="47"/>
    </row>
    <row r="75" spans="2:12" ht="16.5" thickBot="1" x14ac:dyDescent="0.3">
      <c r="B75" s="643"/>
      <c r="C75" s="331" t="s">
        <v>333</v>
      </c>
      <c r="D75" s="388"/>
      <c r="E75" s="150"/>
      <c r="F75" s="387">
        <f>5/12*'Equilibre prévisionnel'!F54+7/12*'Equilibre prévisionnel'!G54/(1+'CRCP &amp; évolutions'!$D$4)</f>
        <v>4130.8100657256473</v>
      </c>
      <c r="G75" s="387">
        <f>5/12*'Equilibre prévisionnel'!G54+7/12*'Equilibre prévisionnel'!H54/(1+'CRCP &amp; évolutions'!$D$4)</f>
        <v>4135.7573548519658</v>
      </c>
      <c r="H75" s="387">
        <f>5/12*'Equilibre prévisionnel'!H54+7/12*'Equilibre prévisionnel'!I54/(1+'CRCP &amp; évolutions'!$D$4)</f>
        <v>4164.6102210776244</v>
      </c>
      <c r="J75" s="562"/>
      <c r="K75" s="47"/>
    </row>
    <row r="76" spans="2:12" ht="16.5" thickBot="1" x14ac:dyDescent="0.3">
      <c r="B76" s="643"/>
      <c r="C76" s="513" t="s">
        <v>345</v>
      </c>
      <c r="D76" s="388"/>
      <c r="E76" s="511"/>
      <c r="F76" s="150">
        <f>(5/12)*'Equilibre prévisionnel'!F11*('CRCP &amp; évolutions'!E11/'CRCP &amp; évolutions'!E12-1)+(7/12)*'Equilibre prévisionnel'!G11*('CRCP &amp; évolutions'!E11/'CRCP &amp; évolutions'!E12-1)</f>
        <v>20.216820437688849</v>
      </c>
      <c r="G76" s="150">
        <f>(5/12)*'Equilibre prévisionnel'!G11*('CRCP &amp; évolutions'!F11/'CRCP &amp; évolutions'!F12-1)+(7/12)*'Equilibre prévisionnel'!H11*('CRCP &amp; évolutions'!F11/'CRCP &amp; évolutions'!F12-1)</f>
        <v>113.77340354346835</v>
      </c>
      <c r="H76" s="150">
        <f>(5/12)*'Equilibre prévisionnel'!H11*('CRCP &amp; évolutions'!G11/'CRCP &amp; évolutions'!G12-1)</f>
        <v>47.725913421831692</v>
      </c>
      <c r="J76" s="562"/>
      <c r="K76" s="47"/>
    </row>
    <row r="77" spans="2:12" ht="16.5" thickBot="1" x14ac:dyDescent="0.3">
      <c r="B77" s="643"/>
      <c r="C77" s="331" t="s">
        <v>334</v>
      </c>
      <c r="D77" s="388"/>
      <c r="E77" s="150"/>
      <c r="F77" s="458">
        <f>(F87+(F74+F76)/F75)/E85-1-F86</f>
        <v>-4.8892667519247694E-2</v>
      </c>
      <c r="G77" s="458">
        <f>(G87+(G74+G76)/G75)/F85-1-G86</f>
        <v>4.9345140620919353E-2</v>
      </c>
      <c r="H77" s="457">
        <f>(H87+(H74+H76)/H75)/G85-1-H86</f>
        <v>1.9936817194977856E-2</v>
      </c>
      <c r="I77" s="391"/>
      <c r="J77" s="562"/>
      <c r="K77" s="47"/>
    </row>
    <row r="78" spans="2:12" ht="16.5" thickBot="1" x14ac:dyDescent="0.3">
      <c r="B78" s="643"/>
      <c r="C78" s="514"/>
      <c r="D78" s="456"/>
      <c r="E78" s="515"/>
      <c r="F78" s="516"/>
      <c r="G78" s="602"/>
      <c r="H78" s="516"/>
      <c r="J78" s="32"/>
      <c r="K78" s="47"/>
    </row>
    <row r="79" spans="2:12" ht="18.75" thickBot="1" x14ac:dyDescent="0.3">
      <c r="B79" s="643"/>
      <c r="C79" s="517" t="s">
        <v>336</v>
      </c>
      <c r="D79" s="388"/>
      <c r="E79" s="150"/>
      <c r="F79" s="518">
        <f>MAX(-2%,MIN(2%,F77))</f>
        <v>-0.02</v>
      </c>
      <c r="G79" s="518">
        <f>MAX(-2%,MIN(2%,G77))</f>
        <v>0.02</v>
      </c>
      <c r="H79" s="519">
        <f>MAX(-2%,MIN(2%,H77))</f>
        <v>1.9936817194977856E-2</v>
      </c>
      <c r="J79" s="567"/>
      <c r="K79" s="47"/>
    </row>
    <row r="80" spans="2:12" ht="16.5" thickBot="1" x14ac:dyDescent="0.3">
      <c r="B80" s="643"/>
      <c r="C80" s="331" t="s">
        <v>335</v>
      </c>
      <c r="D80" s="388"/>
      <c r="E80" s="150"/>
      <c r="F80" s="520">
        <f>F77-F81</f>
        <v>4.9971925906331927E-3</v>
      </c>
      <c r="G80" s="520">
        <f>G77-G81</f>
        <v>1.5902173215570206E-2</v>
      </c>
      <c r="H80" s="520">
        <f>H77-H81</f>
        <v>1.9936817194977856E-2</v>
      </c>
      <c r="J80" s="568"/>
      <c r="K80" s="47"/>
    </row>
    <row r="81" spans="2:12" ht="18.75" thickBot="1" x14ac:dyDescent="0.3">
      <c r="B81" s="643"/>
      <c r="C81" s="331" t="s">
        <v>337</v>
      </c>
      <c r="D81" s="388"/>
      <c r="E81" s="150"/>
      <c r="F81" s="458">
        <f>(E63*(1+$D$4))/(F75*E85)</f>
        <v>-5.3889860109880887E-2</v>
      </c>
      <c r="G81" s="458">
        <f>(F63*(1+$D$4))/(G75*F85)</f>
        <v>3.3442967405349147E-2</v>
      </c>
      <c r="H81" s="458">
        <f t="shared" ref="H81" si="4">(G63*(1+$D$4))/(H75*G85)</f>
        <v>0</v>
      </c>
      <c r="I81" s="391"/>
      <c r="J81" s="601"/>
      <c r="K81" s="47"/>
    </row>
    <row r="82" spans="2:12" ht="18.75" thickBot="1" x14ac:dyDescent="0.3">
      <c r="B82" s="643"/>
      <c r="C82" s="521" t="s">
        <v>338</v>
      </c>
      <c r="D82" s="388"/>
      <c r="E82" s="150"/>
      <c r="F82" s="539">
        <f>(F77-F79)*F75*E85</f>
        <v>-120.65367293581517</v>
      </c>
      <c r="G82" s="539">
        <f>(G77-G79)*G75*F85</f>
        <v>122.68037169857523</v>
      </c>
      <c r="H82" s="539">
        <f>(H77-H79)*H75*G85</f>
        <v>0</v>
      </c>
      <c r="I82" s="391"/>
      <c r="J82" s="32"/>
      <c r="K82" s="47"/>
    </row>
    <row r="83" spans="2:12" ht="21" customHeight="1" thickBot="1" x14ac:dyDescent="0.3">
      <c r="B83" s="643"/>
      <c r="C83" s="522" t="s">
        <v>48</v>
      </c>
      <c r="D83" s="553">
        <f>D5</f>
        <v>4.9220761724226899E-3</v>
      </c>
      <c r="E83" s="523"/>
      <c r="F83" s="524"/>
      <c r="G83" s="525"/>
      <c r="H83" s="526"/>
      <c r="J83" s="32"/>
      <c r="K83" s="47"/>
    </row>
    <row r="84" spans="2:12" ht="18" customHeight="1" thickBot="1" x14ac:dyDescent="0.3">
      <c r="B84" s="643"/>
      <c r="C84" s="517" t="s">
        <v>339</v>
      </c>
      <c r="D84" s="527"/>
      <c r="E84" s="361"/>
      <c r="F84" s="528">
        <f>F9+$D$83+F79</f>
        <v>-7.792382757730934E-5</v>
      </c>
      <c r="G84" s="528">
        <f>G9+$D$83+G79</f>
        <v>6.6922076172422698E-2</v>
      </c>
      <c r="H84" s="528">
        <f>H9+$D$83+H79</f>
        <v>2.4858893367400547E-2</v>
      </c>
      <c r="J84" s="564"/>
      <c r="K84" s="47"/>
      <c r="L84" s="45"/>
    </row>
    <row r="85" spans="2:12" ht="18" customHeight="1" thickBot="1" x14ac:dyDescent="0.3">
      <c r="B85" s="643"/>
      <c r="C85" s="529" t="s">
        <v>350</v>
      </c>
      <c r="D85" s="530">
        <v>1</v>
      </c>
      <c r="E85" s="531">
        <f>E87</f>
        <v>1.0109220761724227</v>
      </c>
      <c r="F85" s="532">
        <f>E85*(1+F84)</f>
        <v>1.010843301254865</v>
      </c>
      <c r="G85" s="532">
        <f>F85*(1+G84)</f>
        <v>1.0784910336598263</v>
      </c>
      <c r="H85" s="533">
        <f>G85*(1+H84)</f>
        <v>1.1053011272632736</v>
      </c>
      <c r="I85" s="392"/>
      <c r="J85" s="565"/>
      <c r="K85" s="47"/>
    </row>
    <row r="86" spans="2:12" ht="15.75" customHeight="1" thickBot="1" x14ac:dyDescent="0.3">
      <c r="B86" s="643"/>
      <c r="C86" s="534" t="s">
        <v>360</v>
      </c>
      <c r="D86" s="60"/>
      <c r="E86" s="535"/>
      <c r="F86" s="457">
        <f>F9+$D$83</f>
        <v>1.9922076172422691E-2</v>
      </c>
      <c r="G86" s="457">
        <f t="shared" ref="G86:H86" si="5">G9+$D$83</f>
        <v>4.6922076172422694E-2</v>
      </c>
      <c r="H86" s="457">
        <f t="shared" si="5"/>
        <v>4.9220761724226899E-3</v>
      </c>
      <c r="I86" s="46"/>
      <c r="J86" s="565"/>
      <c r="K86" s="47"/>
      <c r="L86" s="47"/>
    </row>
    <row r="87" spans="2:12" ht="16.5" thickBot="1" x14ac:dyDescent="0.3">
      <c r="B87" s="643"/>
      <c r="C87" s="536" t="s">
        <v>349</v>
      </c>
      <c r="D87" s="530">
        <v>1</v>
      </c>
      <c r="E87" s="537">
        <f>'Equilibre prévisionnel'!E65</f>
        <v>1.0109220761724227</v>
      </c>
      <c r="F87" s="538">
        <f>'Equilibre prévisionnel'!F65</f>
        <v>1.0260071323974513</v>
      </c>
      <c r="G87" s="538">
        <f>'Equilibre prévisionnel'!G65</f>
        <v>1.0433693032453299</v>
      </c>
      <c r="H87" s="538">
        <f>'Equilibre prévisionnel'!H65</f>
        <v>1.0641553859805508</v>
      </c>
      <c r="I87" s="390"/>
      <c r="J87" s="566"/>
      <c r="K87" s="47"/>
    </row>
    <row r="88" spans="2:12" ht="16.5" thickBot="1" x14ac:dyDescent="0.3">
      <c r="B88" s="643"/>
      <c r="C88" s="529" t="s">
        <v>359</v>
      </c>
      <c r="D88" s="530"/>
      <c r="E88" s="537">
        <v>1</v>
      </c>
      <c r="F88" s="538">
        <f>E88*(1+F84)</f>
        <v>0.99992207617242268</v>
      </c>
      <c r="G88" s="538">
        <f>F88*(1+G84)</f>
        <v>1.0668389375205207</v>
      </c>
      <c r="H88" s="538">
        <f>G88*(1+H84)</f>
        <v>1.0933593729085342</v>
      </c>
      <c r="J88" s="566"/>
      <c r="K88" s="47"/>
    </row>
    <row r="89" spans="2:12" ht="13.9" customHeight="1" x14ac:dyDescent="0.25">
      <c r="J89" s="32"/>
      <c r="K89" s="42"/>
      <c r="L89" s="48"/>
    </row>
    <row r="90" spans="2:12" ht="13.9" customHeight="1" x14ac:dyDescent="0.25">
      <c r="J90" s="32"/>
      <c r="K90" s="42"/>
      <c r="L90" s="48"/>
    </row>
    <row r="91" spans="2:12" ht="13.9" customHeight="1" x14ac:dyDescent="0.25">
      <c r="J91" s="32"/>
      <c r="K91" s="170"/>
    </row>
    <row r="94" spans="2:12" ht="13.9" customHeight="1" x14ac:dyDescent="0.25">
      <c r="J94" s="32"/>
      <c r="K94" s="171"/>
    </row>
  </sheetData>
  <mergeCells count="4">
    <mergeCell ref="C2:D2"/>
    <mergeCell ref="B8:B11"/>
    <mergeCell ref="B15:B54"/>
    <mergeCell ref="B72:B88"/>
  </mergeCells>
  <dataValidations count="1">
    <dataValidation type="list" allowBlank="1" showInputMessage="1" showErrorMessage="1" sqref="E2" xr:uid="{00000000-0002-0000-0400-000000000000}">
      <formula1>$E$8:$H$8</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T112"/>
  <sheetViews>
    <sheetView zoomScaleNormal="100" workbookViewId="0">
      <pane xSplit="7" ySplit="5" topLeftCell="H6" activePane="bottomRight" state="frozen"/>
      <selection pane="topRight" activeCell="F1" sqref="F1"/>
      <selection pane="bottomLeft" activeCell="A6" sqref="A6"/>
      <selection pane="bottomRight" activeCell="N8" sqref="N8"/>
    </sheetView>
  </sheetViews>
  <sheetFormatPr baseColWidth="10" defaultColWidth="11.28515625" defaultRowHeight="15.75" x14ac:dyDescent="0.3"/>
  <cols>
    <col min="1" max="1" width="3.28515625" style="70" customWidth="1"/>
    <col min="2" max="2" width="31.28515625" style="70" customWidth="1"/>
    <col min="3" max="5" width="16.28515625" style="70" customWidth="1"/>
    <col min="6" max="6" width="14.85546875" style="93" customWidth="1"/>
    <col min="7" max="7" width="20.140625" style="70" customWidth="1"/>
    <col min="8" max="8" width="12.28515625" style="70" customWidth="1"/>
    <col min="9" max="9" width="14.7109375" style="174" customWidth="1"/>
    <col min="10" max="10" width="16.7109375" style="174" customWidth="1"/>
    <col min="11" max="11" width="15.85546875" style="174" customWidth="1"/>
    <col min="12" max="12" width="16.7109375" style="174" customWidth="1"/>
    <col min="13" max="13" width="11.28515625" style="70"/>
    <col min="14" max="14" width="14.28515625" style="70" customWidth="1"/>
    <col min="15" max="15" width="15.28515625" style="70" customWidth="1"/>
    <col min="16" max="16" width="19.7109375" style="70" customWidth="1"/>
    <col min="17" max="17" width="11.28515625" style="70" hidden="1" customWidth="1"/>
    <col min="18" max="16384" width="11.28515625" style="70"/>
  </cols>
  <sheetData>
    <row r="1" spans="1:18" x14ac:dyDescent="0.3">
      <c r="B1" s="172"/>
      <c r="C1" s="172"/>
      <c r="D1" s="172"/>
      <c r="E1" s="172"/>
      <c r="F1" s="172"/>
      <c r="G1" s="172"/>
      <c r="H1" s="172"/>
    </row>
    <row r="4" spans="1:18" s="173" customFormat="1" ht="131.25" customHeight="1" x14ac:dyDescent="0.25">
      <c r="B4" s="86" t="s">
        <v>113</v>
      </c>
      <c r="F4" s="93"/>
      <c r="H4" s="236" t="s">
        <v>114</v>
      </c>
      <c r="I4" s="673" t="s">
        <v>115</v>
      </c>
      <c r="J4" s="674"/>
      <c r="K4" s="674"/>
      <c r="L4" s="674"/>
    </row>
    <row r="5" spans="1:18" s="177" customFormat="1" ht="39.75" customHeight="1" thickBot="1" x14ac:dyDescent="0.3">
      <c r="B5" s="213"/>
      <c r="C5" s="212"/>
      <c r="D5" s="212"/>
      <c r="E5" s="212"/>
      <c r="F5" s="472"/>
      <c r="H5" s="236" t="s">
        <v>116</v>
      </c>
      <c r="I5" s="473" t="s">
        <v>204</v>
      </c>
      <c r="J5" s="473" t="s">
        <v>205</v>
      </c>
      <c r="K5" s="473" t="s">
        <v>206</v>
      </c>
      <c r="L5" s="474" t="s">
        <v>207</v>
      </c>
    </row>
    <row r="6" spans="1:18" ht="63" customHeight="1" thickBot="1" x14ac:dyDescent="0.35">
      <c r="A6" s="214"/>
      <c r="B6" s="688" t="s">
        <v>213</v>
      </c>
      <c r="C6" s="689"/>
      <c r="D6" s="689"/>
      <c r="E6" s="690"/>
      <c r="F6" s="445" t="s">
        <v>117</v>
      </c>
      <c r="G6" s="446" t="s">
        <v>118</v>
      </c>
      <c r="H6" s="239">
        <v>1</v>
      </c>
      <c r="I6" s="222">
        <v>9404.0400000000009</v>
      </c>
      <c r="J6" s="223">
        <f>IF($H6=1,MROUND($I6*ROUND('CRCP &amp; évolutions'!F$88,4),0.12),ROUND($I6*ROUND('CRCP &amp; évolutions'!F$88,4),2))</f>
        <v>9403.08</v>
      </c>
      <c r="K6" s="223">
        <f>IF($H6=1,MROUND($I6*ROUND('CRCP &amp; évolutions'!G$88,4),0.12),ROUND($I6*ROUND('CRCP &amp; évolutions'!G$88,4),2))</f>
        <v>10032.24</v>
      </c>
      <c r="L6" s="475">
        <f>IF($H6=1,MROUND($I6*ROUND('CRCP &amp; évolutions'!H$88,4),0.12),ROUND($I6*ROUND('CRCP &amp; évolutions'!H$88,4),2))</f>
        <v>10282.32</v>
      </c>
      <c r="M6" s="436"/>
      <c r="N6" s="174"/>
    </row>
    <row r="7" spans="1:18" ht="47.25" customHeight="1" x14ac:dyDescent="0.3">
      <c r="A7" s="214"/>
      <c r="B7" s="646" t="s">
        <v>214</v>
      </c>
      <c r="C7" s="218" t="s">
        <v>119</v>
      </c>
      <c r="D7" s="691" t="s">
        <v>120</v>
      </c>
      <c r="E7" s="691"/>
      <c r="F7" s="445" t="s">
        <v>117</v>
      </c>
      <c r="G7" s="446" t="s">
        <v>121</v>
      </c>
      <c r="H7" s="239">
        <v>1</v>
      </c>
      <c r="I7" s="222">
        <v>3095.28</v>
      </c>
      <c r="J7" s="223">
        <f>IF($H7=1,MROUND($I7*ROUND('CRCP &amp; évolutions'!F$88,4),0.12),ROUND($I7*ROUND('CRCP &amp; évolutions'!F$88,4),2))</f>
        <v>3094.92</v>
      </c>
      <c r="K7" s="223">
        <f>IF($H7=1,MROUND($I7*ROUND('CRCP &amp; évolutions'!G$88,4),0.12),ROUND($I7*ROUND('CRCP &amp; évolutions'!G$88,4),2))</f>
        <v>3302.04</v>
      </c>
      <c r="L7" s="475">
        <f>IF($H7=1,MROUND($I7*ROUND('CRCP &amp; évolutions'!H$88,4),0.12),ROUND($I7*ROUND('CRCP &amp; évolutions'!H$88,4),2))</f>
        <v>3384.3599999999997</v>
      </c>
      <c r="M7" s="435"/>
      <c r="N7" s="174"/>
      <c r="P7" s="436"/>
    </row>
    <row r="8" spans="1:18" ht="47.25" customHeight="1" thickBot="1" x14ac:dyDescent="0.35">
      <c r="A8" s="214"/>
      <c r="B8" s="647"/>
      <c r="C8" s="220" t="s">
        <v>119</v>
      </c>
      <c r="D8" s="692" t="s">
        <v>122</v>
      </c>
      <c r="E8" s="692"/>
      <c r="F8" s="221" t="s">
        <v>117</v>
      </c>
      <c r="G8" s="85" t="s">
        <v>121</v>
      </c>
      <c r="H8" s="238">
        <v>1</v>
      </c>
      <c r="I8" s="175">
        <v>555.72</v>
      </c>
      <c r="J8" s="176">
        <f>IF($H8=1,MROUND($I8*ROUND('CRCP &amp; évolutions'!F$88,4),0.12),ROUND($I8*ROUND('CRCP &amp; évolutions'!F$88,4),2))</f>
        <v>555.72</v>
      </c>
      <c r="K8" s="176">
        <f>IF($H8=1,MROUND($I8*ROUND('CRCP &amp; évolutions'!G$88,4),0.12),ROUND($I8*ROUND('CRCP &amp; évolutions'!G$88,4),2))</f>
        <v>592.79999999999995</v>
      </c>
      <c r="L8" s="439">
        <f>IF($H8=1,MROUND($I8*ROUND('CRCP &amp; évolutions'!H$88,4),0.12),ROUND($I8*ROUND('CRCP &amp; évolutions'!H$88,4),2))</f>
        <v>607.67999999999995</v>
      </c>
      <c r="M8" s="435"/>
      <c r="N8" s="174"/>
      <c r="P8" s="436"/>
    </row>
    <row r="9" spans="1:18" ht="15.6" customHeight="1" thickBot="1" x14ac:dyDescent="0.35">
      <c r="A9" s="214"/>
      <c r="B9" s="651" t="s">
        <v>215</v>
      </c>
      <c r="C9" s="676"/>
      <c r="D9" s="676"/>
      <c r="E9" s="677"/>
      <c r="F9" s="460" t="s">
        <v>123</v>
      </c>
      <c r="G9" s="446" t="s">
        <v>124</v>
      </c>
      <c r="H9" s="239">
        <v>0</v>
      </c>
      <c r="I9" s="222">
        <v>23</v>
      </c>
      <c r="J9" s="223">
        <v>23</v>
      </c>
      <c r="K9" s="461">
        <v>23</v>
      </c>
      <c r="L9" s="462">
        <v>23</v>
      </c>
      <c r="M9" s="435"/>
    </row>
    <row r="10" spans="1:18" ht="52.5" customHeight="1" thickBot="1" x14ac:dyDescent="0.35">
      <c r="A10" s="214"/>
      <c r="B10" s="652"/>
      <c r="C10" s="678"/>
      <c r="D10" s="678"/>
      <c r="E10" s="679"/>
      <c r="F10" s="447" t="s">
        <v>125</v>
      </c>
      <c r="G10" s="85" t="s">
        <v>124</v>
      </c>
      <c r="H10" s="238">
        <v>0</v>
      </c>
      <c r="I10" s="175">
        <v>23</v>
      </c>
      <c r="J10" s="176">
        <v>23</v>
      </c>
      <c r="K10" s="459">
        <v>23</v>
      </c>
      <c r="L10" s="394">
        <v>23</v>
      </c>
      <c r="M10" s="435"/>
      <c r="N10" s="685" t="s">
        <v>208</v>
      </c>
      <c r="O10" s="686"/>
      <c r="P10" s="686"/>
      <c r="Q10" s="687"/>
    </row>
    <row r="11" spans="1:18" ht="51.75" thickBot="1" x14ac:dyDescent="0.35">
      <c r="A11" s="214"/>
      <c r="B11" s="663"/>
      <c r="C11" s="680"/>
      <c r="D11" s="680"/>
      <c r="E11" s="681"/>
      <c r="F11" s="447" t="s">
        <v>126</v>
      </c>
      <c r="G11" s="85" t="s">
        <v>124</v>
      </c>
      <c r="H11" s="238">
        <v>0</v>
      </c>
      <c r="I11" s="175">
        <v>0</v>
      </c>
      <c r="J11" s="459">
        <f>IF($H11=1,MROUND($I11*'CRCP &amp; évolutions'!F$88,0.12),ROUND($I11*'CRCP &amp; évolutions'!F$88,2))</f>
        <v>0</v>
      </c>
      <c r="K11" s="459">
        <f>IF($H11=1,MROUND($I11*'CRCP &amp; évolutions'!G$88,0.12),ROUND($I11*'CRCP &amp; évolutions'!G$88,2))</f>
        <v>0</v>
      </c>
      <c r="L11" s="394">
        <f>IF($H11=1,MROUND($I11*'CRCP &amp; évolutions'!H$88,0.12),ROUND($I11*'CRCP &amp; évolutions'!H$88,2))</f>
        <v>0</v>
      </c>
      <c r="M11" s="435"/>
      <c r="N11" s="306" t="s">
        <v>205</v>
      </c>
      <c r="O11" s="224" t="s">
        <v>206</v>
      </c>
      <c r="P11" s="225" t="s">
        <v>207</v>
      </c>
      <c r="R11" s="307"/>
    </row>
    <row r="12" spans="1:18" ht="47.25" customHeight="1" thickBot="1" x14ac:dyDescent="0.35">
      <c r="A12" s="214"/>
      <c r="B12" s="678" t="s">
        <v>216</v>
      </c>
      <c r="C12" s="678"/>
      <c r="D12" s="678"/>
      <c r="E12" s="678"/>
      <c r="F12" s="445" t="s">
        <v>123</v>
      </c>
      <c r="G12" s="446" t="s">
        <v>127</v>
      </c>
      <c r="H12" s="239">
        <v>0</v>
      </c>
      <c r="I12" s="222">
        <v>0.33</v>
      </c>
      <c r="J12" s="223">
        <f>IF($H12=1,MROUND($I12*ROUND('CRCP &amp; évolutions'!F$88,4),0.12),ROUND($I12*ROUND('CRCP &amp; évolutions'!F$88,4),2))</f>
        <v>0.33</v>
      </c>
      <c r="K12" s="223">
        <f>IF($H12=1,MROUND($I12*ROUND('CRCP &amp; évolutions'!G$88,4),0.12),ROUND($I12*ROUND('CRCP &amp; évolutions'!G$88,4),2))</f>
        <v>0.35</v>
      </c>
      <c r="L12" s="475">
        <f>IF($H12=1,MROUND($I12*ROUND('CRCP &amp; évolutions'!H$88,4),0.12),ROUND($I12*ROUND('CRCP &amp; évolutions'!H$88,4),2))</f>
        <v>0.36</v>
      </c>
      <c r="M12" s="435"/>
      <c r="N12" s="309">
        <v>0.33</v>
      </c>
      <c r="O12" s="311">
        <v>0.33</v>
      </c>
      <c r="P12" s="310">
        <v>0.33</v>
      </c>
    </row>
    <row r="13" spans="1:18" ht="15.75" customHeight="1" x14ac:dyDescent="0.3">
      <c r="A13" s="214"/>
      <c r="B13" s="651" t="s">
        <v>217</v>
      </c>
      <c r="C13" s="664" t="s">
        <v>128</v>
      </c>
      <c r="D13" s="665"/>
      <c r="E13" s="666"/>
      <c r="F13" s="446" t="s">
        <v>129</v>
      </c>
      <c r="G13" s="446" t="s">
        <v>130</v>
      </c>
      <c r="H13" s="239">
        <v>1</v>
      </c>
      <c r="I13" s="222">
        <v>1.43</v>
      </c>
      <c r="J13" s="223">
        <f>IF($H13=1,MROUND(N13*ROUND('CRCP &amp; évolutions'!F$88,4),0.12),ROUND(N13*ROUND('CRCP &amp; évolutions'!F$88,4),2))</f>
        <v>1.92</v>
      </c>
      <c r="K13" s="223">
        <f>IF($H13=1,MROUND(O13*ROUND('CRCP &amp; évolutions'!G$88,4),0.12),ROUND(O13*ROUND('CRCP &amp; évolutions'!G$88,4),2))</f>
        <v>2.6399999999999997</v>
      </c>
      <c r="L13" s="475">
        <f>IF($H13=1,MROUND(P13*ROUND('CRCP &amp; évolutions'!H$88,4),0.12),ROUND(P13*ROUND('CRCP &amp; évolutions'!H$88,4),2))</f>
        <v>3.36</v>
      </c>
      <c r="M13" s="435"/>
      <c r="N13" s="315">
        <v>1.9612000000000001</v>
      </c>
      <c r="O13" s="222">
        <v>2.4918999999999998</v>
      </c>
      <c r="P13" s="302">
        <v>3.0261999999999998</v>
      </c>
      <c r="Q13" s="304"/>
    </row>
    <row r="14" spans="1:18" ht="15.75" customHeight="1" x14ac:dyDescent="0.3">
      <c r="A14" s="214"/>
      <c r="B14" s="652"/>
      <c r="C14" s="667"/>
      <c r="D14" s="648"/>
      <c r="E14" s="650"/>
      <c r="F14" s="85" t="s">
        <v>131</v>
      </c>
      <c r="G14" s="85" t="s">
        <v>130</v>
      </c>
      <c r="H14" s="238">
        <v>1</v>
      </c>
      <c r="I14" s="175">
        <v>1.37</v>
      </c>
      <c r="J14" s="176">
        <f>IF($H14=1,MROUND(N14*ROUND('CRCP &amp; évolutions'!F$88,4),0.12),ROUND(N14*ROUND('CRCP &amp; évolutions'!F$88,4),2))</f>
        <v>1.92</v>
      </c>
      <c r="K14" s="176">
        <f>IF($H14=1,MROUND(O14*ROUND('CRCP &amp; évolutions'!G$88,4),0.12),ROUND(O14*ROUND('CRCP &amp; évolutions'!G$88,4),2))</f>
        <v>2.6399999999999997</v>
      </c>
      <c r="L14" s="439">
        <f>IF($H14=1,MROUND(P14*ROUND('CRCP &amp; évolutions'!H$88,4),0.12),ROUND(P14*ROUND('CRCP &amp; évolutions'!H$88,4),2))</f>
        <v>3.36</v>
      </c>
      <c r="M14" s="435"/>
      <c r="N14" s="313">
        <v>1.9209000000000001</v>
      </c>
      <c r="O14" s="175">
        <v>2.4719000000000002</v>
      </c>
      <c r="P14" s="303">
        <v>3.0261999999999998</v>
      </c>
      <c r="Q14" s="214"/>
    </row>
    <row r="15" spans="1:18" ht="15.75" customHeight="1" x14ac:dyDescent="0.3">
      <c r="A15" s="214"/>
      <c r="B15" s="652"/>
      <c r="C15" s="667"/>
      <c r="D15" s="648"/>
      <c r="E15" s="650"/>
      <c r="F15" s="85" t="s">
        <v>132</v>
      </c>
      <c r="G15" s="85" t="s">
        <v>130</v>
      </c>
      <c r="H15" s="238">
        <v>1</v>
      </c>
      <c r="I15" s="175">
        <v>1.35</v>
      </c>
      <c r="J15" s="176">
        <f>IF($H15=1,MROUND(N15*ROUND('CRCP &amp; évolutions'!F$88,4),0.12),ROUND(N15*ROUND('CRCP &amp; évolutions'!F$88,4),2))</f>
        <v>1.92</v>
      </c>
      <c r="K15" s="176">
        <f>IF($H15=1,MROUND(O15*ROUND('CRCP &amp; évolutions'!G$88,4),0.12),ROUND(O15*ROUND('CRCP &amp; évolutions'!G$88,4),2))</f>
        <v>2.6399999999999997</v>
      </c>
      <c r="L15" s="439">
        <f>IF($H15=1,MROUND(P15*ROUND('CRCP &amp; évolutions'!H$88,4),0.12),ROUND(P15*ROUND('CRCP &amp; évolutions'!H$88,4),2))</f>
        <v>3.36</v>
      </c>
      <c r="M15" s="435"/>
      <c r="N15" s="313">
        <v>1.9109</v>
      </c>
      <c r="O15" s="175">
        <v>2.4619</v>
      </c>
      <c r="P15" s="303">
        <v>3.0261999999999998</v>
      </c>
      <c r="Q15" s="214"/>
    </row>
    <row r="16" spans="1:18" ht="15.75" customHeight="1" x14ac:dyDescent="0.3">
      <c r="A16" s="214"/>
      <c r="B16" s="652"/>
      <c r="C16" s="667"/>
      <c r="D16" s="648"/>
      <c r="E16" s="650"/>
      <c r="F16" s="85" t="s">
        <v>133</v>
      </c>
      <c r="G16" s="85" t="s">
        <v>130</v>
      </c>
      <c r="H16" s="238">
        <v>1</v>
      </c>
      <c r="I16" s="175">
        <v>1.28</v>
      </c>
      <c r="J16" s="176">
        <f>IF($H16=1,MROUND(N16*ROUND('CRCP &amp; évolutions'!F$88,4),0.12),ROUND(N16*ROUND('CRCP &amp; évolutions'!F$88,4),2))</f>
        <v>1.92</v>
      </c>
      <c r="K16" s="176">
        <f>IF($H16=1,MROUND(O16*ROUND('CRCP &amp; évolutions'!G$88,4),0.12),ROUND(O16*ROUND('CRCP &amp; évolutions'!G$88,4),2))</f>
        <v>2.6399999999999997</v>
      </c>
      <c r="L16" s="439">
        <f>IF($H16=1,MROUND(P16*ROUND('CRCP &amp; évolutions'!H$88,4),0.12),ROUND(P16*ROUND('CRCP &amp; évolutions'!H$88,4),2))</f>
        <v>3.36</v>
      </c>
      <c r="M16" s="435"/>
      <c r="N16" s="313">
        <v>1.8706</v>
      </c>
      <c r="O16" s="175">
        <v>2.4419</v>
      </c>
      <c r="P16" s="303">
        <v>3.0261999999999998</v>
      </c>
      <c r="Q16" s="214"/>
    </row>
    <row r="17" spans="1:17" ht="15.75" customHeight="1" x14ac:dyDescent="0.3">
      <c r="A17" s="214"/>
      <c r="B17" s="652"/>
      <c r="C17" s="667"/>
      <c r="D17" s="648"/>
      <c r="E17" s="650"/>
      <c r="F17" s="85" t="s">
        <v>134</v>
      </c>
      <c r="G17" s="85" t="s">
        <v>130</v>
      </c>
      <c r="H17" s="238">
        <v>1</v>
      </c>
      <c r="I17" s="175">
        <v>1.05</v>
      </c>
      <c r="J17" s="176">
        <f>IF($H17=1,MROUND(N17*ROUND('CRCP &amp; évolutions'!F$88,4),0.12),ROUND(N17*ROUND('CRCP &amp; évolutions'!F$88,4),2))</f>
        <v>1.68</v>
      </c>
      <c r="K17" s="176">
        <f>IF($H17=1,MROUND(O17*ROUND('CRCP &amp; évolutions'!G$88,4),0.12),ROUND(O17*ROUND('CRCP &amp; évolutions'!G$88,4),2))</f>
        <v>2.52</v>
      </c>
      <c r="L17" s="439">
        <f>IF($H17=1,MROUND(P17*ROUND('CRCP &amp; évolutions'!H$88,4),0.12),ROUND(P17*ROUND('CRCP &amp; évolutions'!H$88,4),2))</f>
        <v>3.36</v>
      </c>
      <c r="M17" s="435"/>
      <c r="N17" s="313">
        <v>1.7097</v>
      </c>
      <c r="O17" s="175">
        <v>2.3717999999999999</v>
      </c>
      <c r="P17" s="303">
        <v>3.0261999999999998</v>
      </c>
      <c r="Q17" s="214"/>
    </row>
    <row r="18" spans="1:17" ht="15.75" customHeight="1" x14ac:dyDescent="0.3">
      <c r="A18" s="214"/>
      <c r="B18" s="652"/>
      <c r="C18" s="667" t="s">
        <v>135</v>
      </c>
      <c r="D18" s="648"/>
      <c r="E18" s="650"/>
      <c r="F18" s="85" t="s">
        <v>129</v>
      </c>
      <c r="G18" s="85" t="s">
        <v>127</v>
      </c>
      <c r="H18" s="238">
        <v>0</v>
      </c>
      <c r="I18" s="175">
        <v>1.29</v>
      </c>
      <c r="J18" s="176">
        <f>IF($H18=1,MROUND(N18*ROUND('CRCP &amp; évolutions'!F$88,4),0.12),ROUND(N18*ROUND('CRCP &amp; évolutions'!F$88,4),2))</f>
        <v>1.17</v>
      </c>
      <c r="K18" s="176">
        <f>IF($H18=1,MROUND(O18*ROUND('CRCP &amp; évolutions'!G$88,4),0.12),ROUND(O18*ROUND('CRCP &amp; évolutions'!G$88,4),2))</f>
        <v>1.1100000000000001</v>
      </c>
      <c r="L18" s="439">
        <f>IF($H18=1,MROUND(P18*ROUND('CRCP &amp; évolutions'!H$88,4),0.12),ROUND(P18*ROUND('CRCP &amp; évolutions'!H$88,4),2))</f>
        <v>0.99</v>
      </c>
      <c r="M18" s="435"/>
      <c r="N18" s="313">
        <v>1.1666000000000001</v>
      </c>
      <c r="O18" s="175">
        <v>1.0407999999999999</v>
      </c>
      <c r="P18" s="303">
        <v>0.90590000000000004</v>
      </c>
      <c r="Q18" s="214"/>
    </row>
    <row r="19" spans="1:17" ht="15.75" customHeight="1" x14ac:dyDescent="0.3">
      <c r="A19" s="214"/>
      <c r="B19" s="652"/>
      <c r="C19" s="667"/>
      <c r="D19" s="648"/>
      <c r="E19" s="650"/>
      <c r="F19" s="85" t="s">
        <v>131</v>
      </c>
      <c r="G19" s="85" t="s">
        <v>127</v>
      </c>
      <c r="H19" s="238">
        <v>0</v>
      </c>
      <c r="I19" s="175">
        <v>0.88</v>
      </c>
      <c r="J19" s="176">
        <f>IF($H19=1,MROUND(N19*ROUND('CRCP &amp; évolutions'!F$88,4),0.12),ROUND(N19*ROUND('CRCP &amp; évolutions'!F$88,4),2))</f>
        <v>0.85</v>
      </c>
      <c r="K19" s="176">
        <f>IF($H19=1,MROUND(O19*ROUND('CRCP &amp; évolutions'!G$88,4),0.12),ROUND(O19*ROUND('CRCP &amp; évolutions'!G$88,4),2))</f>
        <v>0.9</v>
      </c>
      <c r="L19" s="439">
        <f>IF($H19=1,MROUND(P19*ROUND('CRCP &amp; évolutions'!H$88,4),0.12),ROUND(P19*ROUND('CRCP &amp; évolutions'!H$88,4),2))</f>
        <v>0.89</v>
      </c>
      <c r="M19" s="435"/>
      <c r="N19" s="313">
        <v>0.85489999999999999</v>
      </c>
      <c r="O19" s="175">
        <v>0.8407</v>
      </c>
      <c r="P19" s="303">
        <v>0.81630000000000003</v>
      </c>
      <c r="Q19" s="214"/>
    </row>
    <row r="20" spans="1:17" ht="15.75" customHeight="1" x14ac:dyDescent="0.3">
      <c r="A20" s="214"/>
      <c r="B20" s="652"/>
      <c r="C20" s="667"/>
      <c r="D20" s="648"/>
      <c r="E20" s="650"/>
      <c r="F20" s="85" t="s">
        <v>132</v>
      </c>
      <c r="G20" s="85" t="s">
        <v>127</v>
      </c>
      <c r="H20" s="238">
        <v>0</v>
      </c>
      <c r="I20" s="175">
        <v>0.85</v>
      </c>
      <c r="J20" s="176">
        <f>IF($H20=1,MROUND(N20*ROUND('CRCP &amp; évolutions'!F$88,4),0.12),ROUND(N20*ROUND('CRCP &amp; évolutions'!F$88,4),2))</f>
        <v>0.8</v>
      </c>
      <c r="K20" s="176">
        <f>IF($H20=1,MROUND(O20*ROUND('CRCP &amp; évolutions'!G$88,4),0.12),ROUND(O20*ROUND('CRCP &amp; évolutions'!G$88,4),2))</f>
        <v>0.81</v>
      </c>
      <c r="L20" s="439">
        <f>IF($H20=1,MROUND(P20*ROUND('CRCP &amp; évolutions'!H$88,4),0.12),ROUND(P20*ROUND('CRCP &amp; évolutions'!H$88,4),2))</f>
        <v>0.78</v>
      </c>
      <c r="M20" s="435"/>
      <c r="N20" s="313">
        <v>0.80459999999999998</v>
      </c>
      <c r="O20" s="175">
        <v>0.76060000000000005</v>
      </c>
      <c r="P20" s="303">
        <v>0.7167</v>
      </c>
      <c r="Q20" s="214"/>
    </row>
    <row r="21" spans="1:17" ht="15.75" customHeight="1" x14ac:dyDescent="0.3">
      <c r="A21" s="214"/>
      <c r="B21" s="652"/>
      <c r="C21" s="667"/>
      <c r="D21" s="648"/>
      <c r="E21" s="650"/>
      <c r="F21" s="85" t="s">
        <v>133</v>
      </c>
      <c r="G21" s="85" t="s">
        <v>127</v>
      </c>
      <c r="H21" s="238">
        <v>0</v>
      </c>
      <c r="I21" s="175">
        <v>0.67</v>
      </c>
      <c r="J21" s="176">
        <f>IF($H21=1,MROUND(N21*ROUND('CRCP &amp; évolutions'!F$88,4),0.12),ROUND(N21*ROUND('CRCP &amp; évolutions'!F$88,4),2))</f>
        <v>0.63</v>
      </c>
      <c r="K21" s="176">
        <f>IF($H21=1,MROUND(O21*ROUND('CRCP &amp; évolutions'!G$88,4),0.12),ROUND(O21*ROUND('CRCP &amp; évolutions'!G$88,4),2))</f>
        <v>0.63</v>
      </c>
      <c r="L21" s="439">
        <f>IF($H21=1,MROUND(P21*ROUND('CRCP &amp; évolutions'!H$88,4),0.12),ROUND(P21*ROUND('CRCP &amp; évolutions'!H$88,4),2))</f>
        <v>0.61</v>
      </c>
      <c r="M21" s="435"/>
      <c r="N21" s="313">
        <v>0.63360000000000005</v>
      </c>
      <c r="O21" s="175">
        <v>0.59050000000000002</v>
      </c>
      <c r="P21" s="303">
        <v>0.5575</v>
      </c>
      <c r="Q21" s="214"/>
    </row>
    <row r="22" spans="1:17" ht="15.75" customHeight="1" thickBot="1" x14ac:dyDescent="0.35">
      <c r="A22" s="214"/>
      <c r="B22" s="663"/>
      <c r="C22" s="682"/>
      <c r="D22" s="683"/>
      <c r="E22" s="684"/>
      <c r="F22" s="468" t="s">
        <v>134</v>
      </c>
      <c r="G22" s="468" t="s">
        <v>127</v>
      </c>
      <c r="H22" s="469">
        <v>0</v>
      </c>
      <c r="I22" s="470">
        <v>0.54</v>
      </c>
      <c r="J22" s="471">
        <f>IF($H22=1,MROUND(N22*ROUND('CRCP &amp; évolutions'!F$88,4),0.12),ROUND(N22*ROUND('CRCP &amp; évolutions'!F$88,4),2))</f>
        <v>0.5</v>
      </c>
      <c r="K22" s="471">
        <f>IF($H22=1,MROUND(O22*ROUND('CRCP &amp; évolutions'!G$88,4),0.12),ROUND(O22*ROUND('CRCP &amp; évolutions'!G$88,4),2))</f>
        <v>0.51</v>
      </c>
      <c r="L22" s="476">
        <f>IF($H22=1,MROUND(P22*ROUND('CRCP &amp; évolutions'!H$88,4),0.12),ROUND(P22*ROUND('CRCP &amp; évolutions'!H$88,4),2))</f>
        <v>0.49</v>
      </c>
      <c r="M22" s="435"/>
      <c r="N22" s="314">
        <v>0.50290000000000001</v>
      </c>
      <c r="O22" s="216">
        <v>0.48039999999999999</v>
      </c>
      <c r="P22" s="312">
        <v>0.44800000000000001</v>
      </c>
      <c r="Q22" s="214"/>
    </row>
    <row r="23" spans="1:17" ht="15.75" customHeight="1" x14ac:dyDescent="0.3">
      <c r="A23" s="214"/>
      <c r="B23" s="652" t="s">
        <v>218</v>
      </c>
      <c r="C23" s="667" t="s">
        <v>128</v>
      </c>
      <c r="D23" s="648"/>
      <c r="E23" s="650"/>
      <c r="F23" s="85" t="s">
        <v>129</v>
      </c>
      <c r="G23" s="85" t="s">
        <v>130</v>
      </c>
      <c r="H23" s="238">
        <v>1</v>
      </c>
      <c r="I23" s="175">
        <v>4.42</v>
      </c>
      <c r="J23" s="437">
        <f>IF($H23=1,MROUND(N23*ROUND('CRCP &amp; évolutions'!F$88,4),0.12),ROUND(N23*ROUND('CRCP &amp; évolutions'!F$88,4),2))</f>
        <v>4.2</v>
      </c>
      <c r="K23" s="437">
        <f>IF($H23=1,MROUND(O23*ROUND('CRCP &amp; évolutions'!G$88,4),0.12),ROUND(O23*ROUND('CRCP &amp; évolutions'!G$88,4),2))</f>
        <v>4.2</v>
      </c>
      <c r="L23" s="439">
        <f>IF($H23=1,MROUND(P23*ROUND('CRCP &amp; évolutions'!H$88,4),0.12),ROUND(P23*ROUND('CRCP &amp; évolutions'!H$88,4),2))</f>
        <v>4.08</v>
      </c>
      <c r="M23" s="435"/>
      <c r="N23" s="315">
        <v>4.1737000000000002</v>
      </c>
      <c r="O23" s="175">
        <v>3.9630999999999998</v>
      </c>
      <c r="P23" s="303">
        <v>3.7429000000000001</v>
      </c>
      <c r="Q23" s="214"/>
    </row>
    <row r="24" spans="1:17" ht="15.75" customHeight="1" x14ac:dyDescent="0.3">
      <c r="A24" s="214"/>
      <c r="B24" s="652"/>
      <c r="C24" s="667"/>
      <c r="D24" s="648"/>
      <c r="E24" s="650"/>
      <c r="F24" s="85" t="s">
        <v>131</v>
      </c>
      <c r="G24" s="85" t="s">
        <v>130</v>
      </c>
      <c r="H24" s="238">
        <v>1</v>
      </c>
      <c r="I24" s="175">
        <v>4.24</v>
      </c>
      <c r="J24" s="437">
        <f>IF($H24=1,MROUND(N24*ROUND('CRCP &amp; évolutions'!F$88,4),0.12),ROUND(N24*ROUND('CRCP &amp; évolutions'!F$88,4),2))</f>
        <v>4.08</v>
      </c>
      <c r="K24" s="437">
        <f>IF($H24=1,MROUND(O24*ROUND('CRCP &amp; évolutions'!G$88,4),0.12),ROUND(O24*ROUND('CRCP &amp; évolutions'!G$88,4),2))</f>
        <v>4.08</v>
      </c>
      <c r="L24" s="439">
        <f>IF($H24=1,MROUND(P24*ROUND('CRCP &amp; évolutions'!H$88,4),0.12),ROUND(P24*ROUND('CRCP &amp; évolutions'!H$88,4),2))</f>
        <v>3.96</v>
      </c>
      <c r="M24" s="435"/>
      <c r="N24" s="313">
        <v>4.0430000000000001</v>
      </c>
      <c r="O24" s="175">
        <v>3.8530000000000002</v>
      </c>
      <c r="P24" s="303">
        <v>3.6732</v>
      </c>
      <c r="Q24" s="214"/>
    </row>
    <row r="25" spans="1:17" ht="15.75" customHeight="1" x14ac:dyDescent="0.3">
      <c r="A25" s="214"/>
      <c r="B25" s="652"/>
      <c r="C25" s="667"/>
      <c r="D25" s="648"/>
      <c r="E25" s="650"/>
      <c r="F25" s="85" t="s">
        <v>132</v>
      </c>
      <c r="G25" s="85" t="s">
        <v>130</v>
      </c>
      <c r="H25" s="238">
        <v>1</v>
      </c>
      <c r="I25" s="175">
        <v>4.16</v>
      </c>
      <c r="J25" s="437">
        <f>IF($H25=1,MROUND(N25*ROUND('CRCP &amp; évolutions'!F$88,4),0.12),ROUND(N25*ROUND('CRCP &amp; évolutions'!F$88,4),2))</f>
        <v>3.96</v>
      </c>
      <c r="K25" s="437">
        <f>IF($H25=1,MROUND(O25*ROUND('CRCP &amp; évolutions'!G$88,4),0.12),ROUND(O25*ROUND('CRCP &amp; évolutions'!G$88,4),2))</f>
        <v>3.96</v>
      </c>
      <c r="L25" s="439">
        <f>IF($H25=1,MROUND(P25*ROUND('CRCP &amp; évolutions'!H$88,4),0.12),ROUND(P25*ROUND('CRCP &amp; évolutions'!H$88,4),2))</f>
        <v>3.7199999999999998</v>
      </c>
      <c r="M25" s="435"/>
      <c r="N25" s="313">
        <v>3.9022000000000001</v>
      </c>
      <c r="O25" s="175">
        <v>3.6627999999999998</v>
      </c>
      <c r="P25" s="303">
        <v>3.4243000000000001</v>
      </c>
      <c r="Q25" s="214"/>
    </row>
    <row r="26" spans="1:17" ht="15.75" customHeight="1" x14ac:dyDescent="0.3">
      <c r="A26" s="214"/>
      <c r="B26" s="652"/>
      <c r="C26" s="667"/>
      <c r="D26" s="648"/>
      <c r="E26" s="650"/>
      <c r="F26" s="85" t="s">
        <v>133</v>
      </c>
      <c r="G26" s="85" t="s">
        <v>130</v>
      </c>
      <c r="H26" s="238">
        <v>1</v>
      </c>
      <c r="I26" s="175">
        <v>3.43</v>
      </c>
      <c r="J26" s="437">
        <f>IF($H26=1,MROUND(N26*ROUND('CRCP &amp; évolutions'!F$88,4),0.12),ROUND(N26*ROUND('CRCP &amp; évolutions'!F$88,4),2))</f>
        <v>3.36</v>
      </c>
      <c r="K26" s="437">
        <f>IF($H26=1,MROUND(O26*ROUND('CRCP &amp; évolutions'!G$88,4),0.12),ROUND(O26*ROUND('CRCP &amp; évolutions'!G$88,4),2))</f>
        <v>3.48</v>
      </c>
      <c r="L26" s="439">
        <f>IF($H26=1,MROUND(P26*ROUND('CRCP &amp; évolutions'!H$88,4),0.12),ROUND(P26*ROUND('CRCP &amp; évolutions'!H$88,4),2))</f>
        <v>3.48</v>
      </c>
      <c r="M26" s="435"/>
      <c r="N26" s="313">
        <v>3.339</v>
      </c>
      <c r="O26" s="175">
        <v>3.2725</v>
      </c>
      <c r="P26" s="303">
        <v>3.2153</v>
      </c>
      <c r="Q26" s="214"/>
    </row>
    <row r="27" spans="1:17" x14ac:dyDescent="0.3">
      <c r="A27" s="214"/>
      <c r="B27" s="652"/>
      <c r="C27" s="667"/>
      <c r="D27" s="648"/>
      <c r="E27" s="650"/>
      <c r="F27" s="85" t="s">
        <v>134</v>
      </c>
      <c r="G27" s="85" t="s">
        <v>130</v>
      </c>
      <c r="H27" s="238">
        <v>1</v>
      </c>
      <c r="I27" s="175">
        <v>2.42</v>
      </c>
      <c r="J27" s="437">
        <f>IF($H27=1,MROUND(N27*ROUND('CRCP &amp; évolutions'!F$88,4),0.12),ROUND(N27*ROUND('CRCP &amp; évolutions'!F$88,4),2))</f>
        <v>2.6399999999999997</v>
      </c>
      <c r="K27" s="437">
        <f>IF($H27=1,MROUND(O27*ROUND('CRCP &amp; évolutions'!G$88,4),0.12),ROUND(O27*ROUND('CRCP &amp; évolutions'!G$88,4),2))</f>
        <v>3</v>
      </c>
      <c r="L27" s="439">
        <f>IF($H27=1,MROUND(P27*ROUND('CRCP &amp; évolutions'!H$88,4),0.12),ROUND(P27*ROUND('CRCP &amp; évolutions'!H$88,4),2))</f>
        <v>3.36</v>
      </c>
      <c r="M27" s="435"/>
      <c r="N27" s="313">
        <v>2.6349999999999998</v>
      </c>
      <c r="O27" s="175">
        <v>2.8622000000000001</v>
      </c>
      <c r="P27" s="303">
        <v>3.0859000000000001</v>
      </c>
      <c r="Q27" s="214"/>
    </row>
    <row r="28" spans="1:17" x14ac:dyDescent="0.3">
      <c r="A28" s="214"/>
      <c r="B28" s="652"/>
      <c r="C28" s="667" t="s">
        <v>135</v>
      </c>
      <c r="D28" s="648"/>
      <c r="E28" s="650"/>
      <c r="F28" s="85" t="s">
        <v>129</v>
      </c>
      <c r="G28" s="85" t="s">
        <v>127</v>
      </c>
      <c r="H28" s="238">
        <v>0</v>
      </c>
      <c r="I28" s="175">
        <v>1.0900000000000001</v>
      </c>
      <c r="J28" s="437">
        <f>IF($H28=1,MROUND(N28*ROUND('CRCP &amp; évolutions'!F$88,4),0.12),ROUND(N28*ROUND('CRCP &amp; évolutions'!F$88,4),2))</f>
        <v>0.98</v>
      </c>
      <c r="K28" s="437">
        <f>IF($H28=1,MROUND(O28*ROUND('CRCP &amp; évolutions'!G$88,4),0.12),ROUND(O28*ROUND('CRCP &amp; évolutions'!G$88,4),2))</f>
        <v>0.93</v>
      </c>
      <c r="L28" s="439">
        <f>IF($H28=1,MROUND(P28*ROUND('CRCP &amp; évolutions'!H$88,4),0.12),ROUND(P28*ROUND('CRCP &amp; évolutions'!H$88,4),2))</f>
        <v>0.83</v>
      </c>
      <c r="M28" s="435"/>
      <c r="N28" s="313">
        <v>0.97550000000000003</v>
      </c>
      <c r="O28" s="175">
        <v>0.87070000000000003</v>
      </c>
      <c r="P28" s="303">
        <v>0.75649999999999995</v>
      </c>
      <c r="Q28" s="214"/>
    </row>
    <row r="29" spans="1:17" x14ac:dyDescent="0.3">
      <c r="A29" s="214"/>
      <c r="B29" s="652"/>
      <c r="C29" s="667"/>
      <c r="D29" s="648"/>
      <c r="E29" s="650"/>
      <c r="F29" s="85" t="s">
        <v>131</v>
      </c>
      <c r="G29" s="85" t="s">
        <v>127</v>
      </c>
      <c r="H29" s="238">
        <v>0</v>
      </c>
      <c r="I29" s="175">
        <v>0.85</v>
      </c>
      <c r="J29" s="437">
        <f>IF($H29=1,MROUND(N29*ROUND('CRCP &amp; évolutions'!F$88,4),0.12),ROUND(N29*ROUND('CRCP &amp; évolutions'!F$88,4),2))</f>
        <v>0.8</v>
      </c>
      <c r="K29" s="437">
        <f>IF($H29=1,MROUND(O29*ROUND('CRCP &amp; évolutions'!G$88,4),0.12),ROUND(O29*ROUND('CRCP &amp; évolutions'!G$88,4),2))</f>
        <v>0.81</v>
      </c>
      <c r="L29" s="439">
        <f>IF($H29=1,MROUND(P29*ROUND('CRCP &amp; évolutions'!H$88,4),0.12),ROUND(P29*ROUND('CRCP &amp; évolutions'!H$88,4),2))</f>
        <v>0.77</v>
      </c>
      <c r="M29" s="435"/>
      <c r="N29" s="313">
        <v>0.80459999999999998</v>
      </c>
      <c r="O29" s="175">
        <v>0.76060000000000005</v>
      </c>
      <c r="P29" s="303">
        <v>0.70679999999999998</v>
      </c>
      <c r="Q29" s="214"/>
    </row>
    <row r="30" spans="1:17" x14ac:dyDescent="0.3">
      <c r="A30" s="214"/>
      <c r="B30" s="652"/>
      <c r="C30" s="667"/>
      <c r="D30" s="648"/>
      <c r="E30" s="650"/>
      <c r="F30" s="85" t="s">
        <v>132</v>
      </c>
      <c r="G30" s="85" t="s">
        <v>127</v>
      </c>
      <c r="H30" s="238">
        <v>0</v>
      </c>
      <c r="I30" s="175">
        <v>0.65</v>
      </c>
      <c r="J30" s="437">
        <f>IF($H30=1,MROUND(N30*ROUND('CRCP &amp; évolutions'!F$88,4),0.12),ROUND(N30*ROUND('CRCP &amp; évolutions'!F$88,4),2))</f>
        <v>0.64</v>
      </c>
      <c r="K30" s="437">
        <f>IF($H30=1,MROUND(O30*ROUND('CRCP &amp; évolutions'!G$88,4),0.12),ROUND(O30*ROUND('CRCP &amp; évolutions'!G$88,4),2))</f>
        <v>0.68</v>
      </c>
      <c r="L30" s="439">
        <f>IF($H30=1,MROUND(P30*ROUND('CRCP &amp; évolutions'!H$88,4),0.12),ROUND(P30*ROUND('CRCP &amp; évolutions'!H$88,4),2))</f>
        <v>0.7</v>
      </c>
      <c r="M30" s="435"/>
      <c r="N30" s="313">
        <v>0.64370000000000005</v>
      </c>
      <c r="O30" s="175">
        <v>0.64049999999999996</v>
      </c>
      <c r="P30" s="303">
        <v>0.6371</v>
      </c>
      <c r="Q30" s="214"/>
    </row>
    <row r="31" spans="1:17" ht="15.75" customHeight="1" x14ac:dyDescent="0.3">
      <c r="A31" s="214"/>
      <c r="B31" s="652"/>
      <c r="C31" s="667"/>
      <c r="D31" s="648"/>
      <c r="E31" s="650"/>
      <c r="F31" s="85" t="s">
        <v>133</v>
      </c>
      <c r="G31" s="85" t="s">
        <v>127</v>
      </c>
      <c r="H31" s="238">
        <v>0</v>
      </c>
      <c r="I31" s="175">
        <v>0.51</v>
      </c>
      <c r="J31" s="437">
        <f>IF($H31=1,MROUND(N31*ROUND('CRCP &amp; évolutions'!F$88,4),0.12),ROUND(N31*ROUND('CRCP &amp; évolutions'!F$88,4),2))</f>
        <v>0.51</v>
      </c>
      <c r="K31" s="437">
        <f>IF($H31=1,MROUND(O31*ROUND('CRCP &amp; évolutions'!G$88,4),0.12),ROUND(O31*ROUND('CRCP &amp; évolutions'!G$88,4),2))</f>
        <v>0.54</v>
      </c>
      <c r="L31" s="439">
        <f>IF($H31=1,MROUND(P31*ROUND('CRCP &amp; évolutions'!H$88,4),0.12),ROUND(P31*ROUND('CRCP &amp; évolutions'!H$88,4),2))</f>
        <v>0.56999999999999995</v>
      </c>
      <c r="M31" s="435"/>
      <c r="N31" s="313">
        <v>0.51290000000000002</v>
      </c>
      <c r="O31" s="175">
        <v>0.51039999999999996</v>
      </c>
      <c r="P31" s="303">
        <v>0.51759999999999995</v>
      </c>
      <c r="Q31" s="214"/>
    </row>
    <row r="32" spans="1:17" ht="16.5" thickBot="1" x14ac:dyDescent="0.35">
      <c r="A32" s="214"/>
      <c r="B32" s="663"/>
      <c r="C32" s="668"/>
      <c r="D32" s="649"/>
      <c r="E32" s="669"/>
      <c r="F32" s="219" t="s">
        <v>134</v>
      </c>
      <c r="G32" s="219" t="s">
        <v>127</v>
      </c>
      <c r="H32" s="237">
        <v>0</v>
      </c>
      <c r="I32" s="216">
        <v>0.34</v>
      </c>
      <c r="J32" s="217">
        <f>IF($H32=1,MROUND(N32*ROUND('CRCP &amp; évolutions'!F$88,4),0.12),ROUND(N32*ROUND('CRCP &amp; évolutions'!F$88,4),2))</f>
        <v>0.37</v>
      </c>
      <c r="K32" s="217">
        <f>IF($H32=1,MROUND(O32*ROUND('CRCP &amp; évolutions'!G$88,4),0.12),ROUND(O32*ROUND('CRCP &amp; évolutions'!G$88,4),2))</f>
        <v>0.44</v>
      </c>
      <c r="L32" s="438">
        <f>IF($H32=1,MROUND(P32*ROUND('CRCP &amp; évolutions'!H$88,4),0.12),ROUND(P32*ROUND('CRCP &amp; évolutions'!H$88,4),2))</f>
        <v>0.48</v>
      </c>
      <c r="M32" s="435"/>
      <c r="N32" s="314">
        <v>0.37209999999999999</v>
      </c>
      <c r="O32" s="175">
        <v>0.4103</v>
      </c>
      <c r="P32" s="312">
        <v>0.438</v>
      </c>
      <c r="Q32" s="214"/>
    </row>
    <row r="33" spans="1:17" x14ac:dyDescent="0.3">
      <c r="A33" s="214"/>
      <c r="B33" s="652" t="s">
        <v>219</v>
      </c>
      <c r="C33" s="664" t="s">
        <v>128</v>
      </c>
      <c r="D33" s="665"/>
      <c r="E33" s="666"/>
      <c r="F33" s="85" t="s">
        <v>129</v>
      </c>
      <c r="G33" s="85" t="s">
        <v>130</v>
      </c>
      <c r="H33" s="238">
        <v>1</v>
      </c>
      <c r="I33" s="175">
        <v>11.92</v>
      </c>
      <c r="J33" s="437">
        <f>IF($H33=1,MROUND(N33*ROUND('CRCP &amp; évolutions'!F$88,4),0.12),ROUND(N33*ROUND('CRCP &amp; évolutions'!F$88,4),2))</f>
        <v>11.28</v>
      </c>
      <c r="K33" s="437">
        <f>IF($H33=1,MROUND(O33*ROUND('CRCP &amp; évolutions'!G$88,4),0.12),ROUND(O33*ROUND('CRCP &amp; évolutions'!G$88,4),2))</f>
        <v>11.28</v>
      </c>
      <c r="L33" s="439">
        <f>IF($H33=1,MROUND(P33*ROUND('CRCP &amp; évolutions'!H$88,4),0.12),ROUND(P33*ROUND('CRCP &amp; évolutions'!H$88,4),2))</f>
        <v>10.92</v>
      </c>
      <c r="M33" s="435"/>
      <c r="N33" s="315">
        <v>11.263999999999999</v>
      </c>
      <c r="O33" s="222">
        <v>10.6182</v>
      </c>
      <c r="P33" s="302">
        <v>9.9943000000000008</v>
      </c>
      <c r="Q33" s="214"/>
    </row>
    <row r="34" spans="1:17" x14ac:dyDescent="0.3">
      <c r="A34" s="214"/>
      <c r="B34" s="652"/>
      <c r="C34" s="667"/>
      <c r="D34" s="648"/>
      <c r="E34" s="650"/>
      <c r="F34" s="85" t="s">
        <v>131</v>
      </c>
      <c r="G34" s="85" t="s">
        <v>130</v>
      </c>
      <c r="H34" s="238">
        <v>1</v>
      </c>
      <c r="I34" s="175">
        <v>11.44</v>
      </c>
      <c r="J34" s="437">
        <f>IF($H34=1,MROUND(N34*ROUND('CRCP &amp; évolutions'!F$88,4),0.12),ROUND(N34*ROUND('CRCP &amp; évolutions'!F$88,4),2))</f>
        <v>10.799999999999999</v>
      </c>
      <c r="K34" s="437">
        <f>IF($H34=1,MROUND(O34*ROUND('CRCP &amp; évolutions'!G$88,4),0.12),ROUND(O34*ROUND('CRCP &amp; évolutions'!G$88,4),2))</f>
        <v>10.799999999999999</v>
      </c>
      <c r="L34" s="439">
        <f>IF($H34=1,MROUND(P34*ROUND('CRCP &amp; évolutions'!H$88,4),0.12),ROUND(P34*ROUND('CRCP &amp; évolutions'!H$88,4),2))</f>
        <v>10.44</v>
      </c>
      <c r="M34" s="435"/>
      <c r="N34" s="313">
        <v>10.7813</v>
      </c>
      <c r="O34" s="175">
        <v>10.1579</v>
      </c>
      <c r="P34" s="303">
        <v>9.5464000000000002</v>
      </c>
      <c r="Q34" s="214"/>
    </row>
    <row r="35" spans="1:17" x14ac:dyDescent="0.3">
      <c r="A35" s="214"/>
      <c r="B35" s="652"/>
      <c r="C35" s="667"/>
      <c r="D35" s="648"/>
      <c r="E35" s="650"/>
      <c r="F35" s="85" t="s">
        <v>132</v>
      </c>
      <c r="G35" s="85" t="s">
        <v>130</v>
      </c>
      <c r="H35" s="238">
        <v>1</v>
      </c>
      <c r="I35" s="175">
        <v>9.4</v>
      </c>
      <c r="J35" s="437">
        <f>IF($H35=1,MROUND(N35*ROUND('CRCP &amp; évolutions'!F$88,4),0.12),ROUND(N35*ROUND('CRCP &amp; évolutions'!F$88,4),2))</f>
        <v>8.76</v>
      </c>
      <c r="K35" s="437">
        <f>IF($H35=1,MROUND(O35*ROUND('CRCP &amp; évolutions'!G$88,4),0.12),ROUND(O35*ROUND('CRCP &amp; évolutions'!G$88,4),2))</f>
        <v>8.64</v>
      </c>
      <c r="L35" s="439">
        <f>IF($H35=1,MROUND(P35*ROUND('CRCP &amp; évolutions'!H$88,4),0.12),ROUND(P35*ROUND('CRCP &amp; évolutions'!H$88,4),2))</f>
        <v>8.16</v>
      </c>
      <c r="M35" s="435"/>
      <c r="N35" s="313">
        <v>8.7396999999999991</v>
      </c>
      <c r="O35" s="175">
        <v>8.1163000000000007</v>
      </c>
      <c r="P35" s="303">
        <v>7.4957000000000003</v>
      </c>
      <c r="Q35" s="214"/>
    </row>
    <row r="36" spans="1:17" ht="15.75" customHeight="1" x14ac:dyDescent="0.3">
      <c r="A36" s="214"/>
      <c r="B36" s="652"/>
      <c r="C36" s="667"/>
      <c r="D36" s="648"/>
      <c r="E36" s="650"/>
      <c r="F36" s="85" t="s">
        <v>133</v>
      </c>
      <c r="G36" s="85" t="s">
        <v>130</v>
      </c>
      <c r="H36" s="238">
        <v>1</v>
      </c>
      <c r="I36" s="175">
        <v>7.17</v>
      </c>
      <c r="J36" s="437">
        <f>IF($H36=1,MROUND(N36*ROUND('CRCP &amp; évolutions'!F$88,4),0.12),ROUND(N36*ROUND('CRCP &amp; évolutions'!F$88,4),2))</f>
        <v>6.4799999999999995</v>
      </c>
      <c r="K36" s="437">
        <f>IF($H36=1,MROUND(O36*ROUND('CRCP &amp; évolutions'!G$88,4),0.12),ROUND(O36*ROUND('CRCP &amp; évolutions'!G$88,4),2))</f>
        <v>6.24</v>
      </c>
      <c r="L36" s="439">
        <f>IF($H36=1,MROUND(P36*ROUND('CRCP &amp; évolutions'!H$88,4),0.12),ROUND(P36*ROUND('CRCP &amp; évolutions'!H$88,4),2))</f>
        <v>5.76</v>
      </c>
      <c r="M36" s="435"/>
      <c r="N36" s="313">
        <v>6.5270999999999999</v>
      </c>
      <c r="O36" s="175">
        <v>5.8945999999999996</v>
      </c>
      <c r="P36" s="303">
        <v>5.2858000000000001</v>
      </c>
      <c r="Q36" s="214"/>
    </row>
    <row r="37" spans="1:17" x14ac:dyDescent="0.3">
      <c r="A37" s="214"/>
      <c r="B37" s="652"/>
      <c r="C37" s="667"/>
      <c r="D37" s="648"/>
      <c r="E37" s="650"/>
      <c r="F37" s="85" t="s">
        <v>134</v>
      </c>
      <c r="G37" s="85" t="s">
        <v>130</v>
      </c>
      <c r="H37" s="238">
        <v>1</v>
      </c>
      <c r="I37" s="175">
        <v>3.87</v>
      </c>
      <c r="J37" s="437">
        <f>IF($H37=1,MROUND(N37*ROUND('CRCP &amp; évolutions'!F$88,4),0.12),ROUND(N37*ROUND('CRCP &amp; évolutions'!F$88,4),2))</f>
        <v>3.84</v>
      </c>
      <c r="K37" s="437">
        <f>IF($H37=1,MROUND(O37*ROUND('CRCP &amp; évolutions'!G$88,4),0.12),ROUND(O37*ROUND('CRCP &amp; évolutions'!G$88,4),2))</f>
        <v>4.2</v>
      </c>
      <c r="L37" s="439">
        <f>IF($H37=1,MROUND(P37*ROUND('CRCP &amp; évolutions'!H$88,4),0.12),ROUND(P37*ROUND('CRCP &amp; évolutions'!H$88,4),2))</f>
        <v>4.32</v>
      </c>
      <c r="M37" s="435"/>
      <c r="N37" s="313">
        <v>3.8719999999999999</v>
      </c>
      <c r="O37" s="175">
        <v>3.8929999999999998</v>
      </c>
      <c r="P37" s="303">
        <v>3.9022000000000001</v>
      </c>
      <c r="Q37" s="214"/>
    </row>
    <row r="38" spans="1:17" x14ac:dyDescent="0.3">
      <c r="A38" s="214"/>
      <c r="B38" s="652"/>
      <c r="C38" s="667" t="s">
        <v>135</v>
      </c>
      <c r="D38" s="648"/>
      <c r="E38" s="650"/>
      <c r="F38" s="85" t="s">
        <v>129</v>
      </c>
      <c r="G38" s="85" t="s">
        <v>127</v>
      </c>
      <c r="H38" s="238">
        <v>0</v>
      </c>
      <c r="I38" s="175">
        <v>0.78</v>
      </c>
      <c r="J38" s="442">
        <f>IF($H38=1,MROUND(N38*ROUND('CRCP &amp; évolutions'!F$88,4),0.12),ROUND(N38*ROUND('CRCP &amp; évolutions'!F$88,4),2))</f>
        <v>0.69</v>
      </c>
      <c r="K38" s="437">
        <f>IF($H38=1,MROUND(O38*ROUND('CRCP &amp; évolutions'!G$88,4),0.12),ROUND(O38*ROUND('CRCP &amp; évolutions'!G$88,4),2))</f>
        <v>0.65</v>
      </c>
      <c r="L38" s="439">
        <f>IF($H38=1,MROUND(P38*ROUND('CRCP &amp; évolutions'!H$88,4),0.12),ROUND(P38*ROUND('CRCP &amp; évolutions'!H$88,4),2))</f>
        <v>0.59</v>
      </c>
      <c r="M38" s="435"/>
      <c r="N38" s="313">
        <v>0.69389999999999996</v>
      </c>
      <c r="O38" s="175">
        <v>0.61050000000000004</v>
      </c>
      <c r="P38" s="303">
        <v>0.53749999999999998</v>
      </c>
      <c r="Q38" s="214"/>
    </row>
    <row r="39" spans="1:17" x14ac:dyDescent="0.3">
      <c r="A39" s="214"/>
      <c r="B39" s="652"/>
      <c r="C39" s="667"/>
      <c r="D39" s="648"/>
      <c r="E39" s="650"/>
      <c r="F39" s="85" t="s">
        <v>131</v>
      </c>
      <c r="G39" s="85" t="s">
        <v>127</v>
      </c>
      <c r="H39" s="238">
        <v>0</v>
      </c>
      <c r="I39" s="175">
        <v>0.61</v>
      </c>
      <c r="J39" s="437">
        <f>IF($H39=1,MROUND(N39*ROUND('CRCP &amp; évolutions'!F$88,4),0.12),ROUND(N39*ROUND('CRCP &amp; évolutions'!F$88,4),2))</f>
        <v>0.56999999999999995</v>
      </c>
      <c r="K39" s="437">
        <f>IF($H39=1,MROUND(O39*ROUND('CRCP &amp; évolutions'!G$88,4),0.12),ROUND(O39*ROUND('CRCP &amp; évolutions'!G$88,4),2))</f>
        <v>0.57999999999999996</v>
      </c>
      <c r="L39" s="439">
        <f>IF($H39=1,MROUND(P39*ROUND('CRCP &amp; évolutions'!H$88,4),0.12),ROUND(P39*ROUND('CRCP &amp; évolutions'!H$88,4),2))</f>
        <v>0.56000000000000005</v>
      </c>
      <c r="M39" s="435"/>
      <c r="N39" s="313">
        <v>0.57330000000000003</v>
      </c>
      <c r="O39" s="175">
        <v>0.54039999999999999</v>
      </c>
      <c r="P39" s="303">
        <v>0.50770000000000004</v>
      </c>
      <c r="Q39" s="214"/>
    </row>
    <row r="40" spans="1:17" x14ac:dyDescent="0.3">
      <c r="A40" s="214"/>
      <c r="B40" s="652"/>
      <c r="C40" s="667"/>
      <c r="D40" s="648"/>
      <c r="E40" s="650"/>
      <c r="F40" s="85" t="s">
        <v>132</v>
      </c>
      <c r="G40" s="85" t="s">
        <v>127</v>
      </c>
      <c r="H40" s="238">
        <v>0</v>
      </c>
      <c r="I40" s="175">
        <v>0.45</v>
      </c>
      <c r="J40" s="437">
        <f>IF($H40=1,MROUND(N40*ROUND('CRCP &amp; évolutions'!F$88,4),0.12),ROUND(N40*ROUND('CRCP &amp; évolutions'!F$88,4),2))</f>
        <v>0.45</v>
      </c>
      <c r="K40" s="437">
        <f>IF($H40=1,MROUND(O40*ROUND('CRCP &amp; évolutions'!G$88,4),0.12),ROUND(O40*ROUND('CRCP &amp; évolutions'!G$88,4),2))</f>
        <v>0.49</v>
      </c>
      <c r="L40" s="439">
        <f>IF($H40=1,MROUND(P40*ROUND('CRCP &amp; évolutions'!H$88,4),0.12),ROUND(P40*ROUND('CRCP &amp; évolutions'!H$88,4),2))</f>
        <v>0.51</v>
      </c>
      <c r="M40" s="435"/>
      <c r="N40" s="313">
        <v>0.4526</v>
      </c>
      <c r="O40" s="175">
        <v>0.46039999999999998</v>
      </c>
      <c r="P40" s="303">
        <v>0.46789999999999998</v>
      </c>
      <c r="Q40" s="214"/>
    </row>
    <row r="41" spans="1:17" ht="15.75" customHeight="1" x14ac:dyDescent="0.3">
      <c r="A41" s="214"/>
      <c r="B41" s="652"/>
      <c r="C41" s="667"/>
      <c r="D41" s="648"/>
      <c r="E41" s="650"/>
      <c r="F41" s="85" t="s">
        <v>133</v>
      </c>
      <c r="G41" s="85" t="s">
        <v>127</v>
      </c>
      <c r="H41" s="238">
        <v>0</v>
      </c>
      <c r="I41" s="175">
        <v>0.31</v>
      </c>
      <c r="J41" s="437">
        <f>IF($H41=1,MROUND(N41*ROUND('CRCP &amp; évolutions'!F$88,4),0.12),ROUND(N41*ROUND('CRCP &amp; évolutions'!F$88,4),2))</f>
        <v>0.35</v>
      </c>
      <c r="K41" s="437">
        <f>IF($H41=1,MROUND(O41*ROUND('CRCP &amp; évolutions'!G$88,4),0.12),ROUND(O41*ROUND('CRCP &amp; évolutions'!G$88,4),2))</f>
        <v>0.42</v>
      </c>
      <c r="L41" s="439">
        <f>IF($H41=1,MROUND(P41*ROUND('CRCP &amp; évolutions'!H$88,4),0.12),ROUND(P41*ROUND('CRCP &amp; évolutions'!H$88,4),2))</f>
        <v>0.47</v>
      </c>
      <c r="M41" s="435"/>
      <c r="N41" s="313">
        <v>0.35199999999999998</v>
      </c>
      <c r="O41" s="175">
        <v>0.39029999999999998</v>
      </c>
      <c r="P41" s="303">
        <v>0.42799999999999999</v>
      </c>
      <c r="Q41" s="214"/>
    </row>
    <row r="42" spans="1:17" ht="16.5" thickBot="1" x14ac:dyDescent="0.35">
      <c r="A42" s="214"/>
      <c r="B42" s="663"/>
      <c r="C42" s="668"/>
      <c r="D42" s="649"/>
      <c r="E42" s="669"/>
      <c r="F42" s="219" t="s">
        <v>134</v>
      </c>
      <c r="G42" s="219" t="s">
        <v>127</v>
      </c>
      <c r="H42" s="237">
        <v>0</v>
      </c>
      <c r="I42" s="216">
        <v>0.25</v>
      </c>
      <c r="J42" s="217">
        <f>IF($H42=1,MROUND(N42*ROUND('CRCP &amp; évolutions'!F$88,4),0.12),ROUND(N42*ROUND('CRCP &amp; évolutions'!F$88,4),2))</f>
        <v>0.28999999999999998</v>
      </c>
      <c r="K42" s="217">
        <f>IF($H42=1,MROUND(O42*ROUND('CRCP &amp; évolutions'!G$88,4),0.12),ROUND(O42*ROUND('CRCP &amp; évolutions'!G$88,4),2))</f>
        <v>0.35</v>
      </c>
      <c r="L42" s="438">
        <f>IF($H42=1,MROUND(P42*ROUND('CRCP &amp; évolutions'!H$88,4),0.12),ROUND(P42*ROUND('CRCP &amp; évolutions'!H$88,4),2))</f>
        <v>0.41</v>
      </c>
      <c r="M42" s="435"/>
      <c r="N42" s="314">
        <v>0.29170000000000001</v>
      </c>
      <c r="O42" s="216">
        <v>0.33029999999999998</v>
      </c>
      <c r="P42" s="312">
        <v>0.37830000000000003</v>
      </c>
      <c r="Q42" s="214"/>
    </row>
    <row r="43" spans="1:17" ht="15.75" customHeight="1" x14ac:dyDescent="0.3">
      <c r="A43" s="214"/>
      <c r="B43" s="646" t="s">
        <v>220</v>
      </c>
      <c r="C43" s="648" t="s">
        <v>128</v>
      </c>
      <c r="D43" s="648"/>
      <c r="E43" s="650"/>
      <c r="F43" s="85" t="s">
        <v>129</v>
      </c>
      <c r="G43" s="85" t="s">
        <v>130</v>
      </c>
      <c r="H43" s="238">
        <v>1</v>
      </c>
      <c r="I43" s="175">
        <v>4.1900000000000004</v>
      </c>
      <c r="J43" s="437">
        <f>IF($H43=1,MROUND(N43*ROUND('CRCP &amp; évolutions'!F$88,4),0.12),ROUND(N43*ROUND('CRCP &amp; évolutions'!F$88,4),2))</f>
        <v>5.88</v>
      </c>
      <c r="K43" s="437">
        <f>IF($H43=1,MROUND(O43*ROUND('CRCP &amp; évolutions'!G$88,4),0.12),ROUND(O43*ROUND('CRCP &amp; évolutions'!G$88,4),2))</f>
        <v>8.16</v>
      </c>
      <c r="L43" s="439">
        <f>IF($H43=1,MROUND(P43*ROUND('CRCP &amp; évolutions'!H$88,4),0.12),ROUND(P43*ROUND('CRCP &amp; évolutions'!H$88,4),2))</f>
        <v>10.199999999999999</v>
      </c>
      <c r="M43" s="435"/>
      <c r="N43" s="315">
        <v>5.8921000000000001</v>
      </c>
      <c r="O43" s="222">
        <v>7.6186999999999996</v>
      </c>
      <c r="P43" s="302">
        <v>9.3412000000000006</v>
      </c>
      <c r="Q43" s="214"/>
    </row>
    <row r="44" spans="1:17" x14ac:dyDescent="0.3">
      <c r="A44" s="214"/>
      <c r="B44" s="675"/>
      <c r="C44" s="648"/>
      <c r="D44" s="648"/>
      <c r="E44" s="650"/>
      <c r="F44" s="85" t="s">
        <v>131</v>
      </c>
      <c r="G44" s="85" t="s">
        <v>130</v>
      </c>
      <c r="H44" s="238">
        <v>1</v>
      </c>
      <c r="I44" s="175">
        <v>3.88</v>
      </c>
      <c r="J44" s="437">
        <f>IF($H44=1,MROUND(N44*ROUND('CRCP &amp; évolutions'!F$88,4),0.12),ROUND(N44*ROUND('CRCP &amp; évolutions'!F$88,4),2))</f>
        <v>5.64</v>
      </c>
      <c r="K44" s="437">
        <f>IF($H44=1,MROUND(O44*ROUND('CRCP &amp; évolutions'!G$88,4),0.12),ROUND(O44*ROUND('CRCP &amp; évolutions'!G$88,4),2))</f>
        <v>8.0399999999999991</v>
      </c>
      <c r="L44" s="439">
        <f>IF($H44=1,MROUND(P44*ROUND('CRCP &amp; évolutions'!H$88,4),0.12),ROUND(P44*ROUND('CRCP &amp; évolutions'!H$88,4),2))</f>
        <v>10.199999999999999</v>
      </c>
      <c r="M44" s="435"/>
      <c r="N44" s="313">
        <v>5.6913999999999998</v>
      </c>
      <c r="O44" s="175">
        <v>7.5084999999999997</v>
      </c>
      <c r="P44" s="303">
        <v>9.3412000000000006</v>
      </c>
      <c r="Q44" s="214"/>
    </row>
    <row r="45" spans="1:17" x14ac:dyDescent="0.3">
      <c r="A45" s="214"/>
      <c r="B45" s="675"/>
      <c r="C45" s="648"/>
      <c r="D45" s="648"/>
      <c r="E45" s="650"/>
      <c r="F45" s="85" t="s">
        <v>132</v>
      </c>
      <c r="G45" s="85" t="s">
        <v>130</v>
      </c>
      <c r="H45" s="238">
        <v>1</v>
      </c>
      <c r="I45" s="175">
        <v>3.77</v>
      </c>
      <c r="J45" s="437">
        <f>IF($H45=1,MROUND(N45*ROUND('CRCP &amp; évolutions'!F$88,4),0.12),ROUND(N45*ROUND('CRCP &amp; évolutions'!F$88,4),2))</f>
        <v>5.64</v>
      </c>
      <c r="K45" s="437">
        <f>IF($H45=1,MROUND(O45*ROUND('CRCP &amp; évolutions'!G$88,4),0.12),ROUND(O45*ROUND('CRCP &amp; évolutions'!G$88,4),2))</f>
        <v>7.92</v>
      </c>
      <c r="L45" s="439">
        <f>IF($H45=1,MROUND(P45*ROUND('CRCP &amp; évolutions'!H$88,4),0.12),ROUND(P45*ROUND('CRCP &amp; évolutions'!H$88,4),2))</f>
        <v>10.199999999999999</v>
      </c>
      <c r="M45" s="435"/>
      <c r="N45" s="313">
        <v>5.6111000000000004</v>
      </c>
      <c r="O45" s="175">
        <v>7.4684999999999997</v>
      </c>
      <c r="P45" s="303">
        <v>9.3412000000000006</v>
      </c>
      <c r="Q45" s="214"/>
    </row>
    <row r="46" spans="1:17" x14ac:dyDescent="0.3">
      <c r="A46" s="214"/>
      <c r="B46" s="675"/>
      <c r="C46" s="648"/>
      <c r="D46" s="648"/>
      <c r="E46" s="650"/>
      <c r="F46" s="85" t="s">
        <v>133</v>
      </c>
      <c r="G46" s="85" t="s">
        <v>130</v>
      </c>
      <c r="H46" s="238">
        <v>1</v>
      </c>
      <c r="I46" s="175">
        <v>3.19</v>
      </c>
      <c r="J46" s="437">
        <f>IF($H46=1,MROUND(N46*ROUND('CRCP &amp; évolutions'!F$88,4),0.12),ROUND(N46*ROUND('CRCP &amp; évolutions'!F$88,4),2))</f>
        <v>5.2799999999999994</v>
      </c>
      <c r="K46" s="437">
        <f>IF($H46=1,MROUND(O46*ROUND('CRCP &amp; évolutions'!G$88,4),0.12),ROUND(O46*ROUND('CRCP &amp; évolutions'!G$88,4),2))</f>
        <v>7.8</v>
      </c>
      <c r="L46" s="439">
        <f>IF($H46=1,MROUND(P46*ROUND('CRCP &amp; évolutions'!H$88,4),0.12),ROUND(P46*ROUND('CRCP &amp; évolutions'!H$88,4),2))</f>
        <v>10.199999999999999</v>
      </c>
      <c r="M46" s="435"/>
      <c r="N46" s="313">
        <v>5.2297000000000002</v>
      </c>
      <c r="O46" s="175">
        <v>7.2782999999999998</v>
      </c>
      <c r="P46" s="303">
        <v>9.3412000000000006</v>
      </c>
      <c r="Q46" s="214"/>
    </row>
    <row r="47" spans="1:17" x14ac:dyDescent="0.3">
      <c r="A47" s="214"/>
      <c r="B47" s="675"/>
      <c r="C47" s="648"/>
      <c r="D47" s="648"/>
      <c r="E47" s="650"/>
      <c r="F47" s="85" t="s">
        <v>134</v>
      </c>
      <c r="G47" s="85" t="s">
        <v>130</v>
      </c>
      <c r="H47" s="238">
        <v>1</v>
      </c>
      <c r="I47" s="175">
        <v>2.8</v>
      </c>
      <c r="J47" s="437">
        <f>IF($H47=1,MROUND(N47*ROUND('CRCP &amp; évolutions'!F$88,4),0.12),ROUND(N47*ROUND('CRCP &amp; évolutions'!F$88,4),2))</f>
        <v>4.92</v>
      </c>
      <c r="K47" s="437">
        <f>IF($H47=1,MROUND(O47*ROUND('CRCP &amp; évolutions'!G$88,4),0.12),ROUND(O47*ROUND('CRCP &amp; évolutions'!G$88,4),2))</f>
        <v>7.68</v>
      </c>
      <c r="L47" s="439">
        <f>IF($H47=1,MROUND(P47*ROUND('CRCP &amp; évolutions'!H$88,4),0.12),ROUND(P47*ROUND('CRCP &amp; évolutions'!H$88,4),2))</f>
        <v>10.199999999999999</v>
      </c>
      <c r="M47" s="435"/>
      <c r="N47" s="313">
        <v>4.9687000000000001</v>
      </c>
      <c r="O47" s="175">
        <v>7.1481000000000003</v>
      </c>
      <c r="P47" s="303">
        <v>9.3412000000000006</v>
      </c>
      <c r="Q47" s="214"/>
    </row>
    <row r="48" spans="1:17" ht="15.75" customHeight="1" x14ac:dyDescent="0.3">
      <c r="A48" s="214"/>
      <c r="B48" s="675"/>
      <c r="C48" s="648" t="s">
        <v>135</v>
      </c>
      <c r="D48" s="648"/>
      <c r="E48" s="650"/>
      <c r="F48" s="85" t="s">
        <v>129</v>
      </c>
      <c r="G48" s="85" t="s">
        <v>127</v>
      </c>
      <c r="H48" s="238">
        <v>0</v>
      </c>
      <c r="I48" s="175">
        <v>2.2999999999999998</v>
      </c>
      <c r="J48" s="437">
        <f>IF($H48=1,MROUND(N48*ROUND('CRCP &amp; évolutions'!F$88,4),0.12),ROUND(N48*ROUND('CRCP &amp; évolutions'!F$88,4),2))</f>
        <v>2.1800000000000002</v>
      </c>
      <c r="K48" s="437">
        <f>IF($H48=1,MROUND(O48*ROUND('CRCP &amp; évolutions'!G$88,4),0.12),ROUND(O48*ROUND('CRCP &amp; évolutions'!G$88,4),2))</f>
        <v>2.21</v>
      </c>
      <c r="L48" s="439">
        <f>IF($H48=1,MROUND(P48*ROUND('CRCP &amp; évolutions'!H$88,4),0.12),ROUND(P48*ROUND('CRCP &amp; évolutions'!H$88,4),2))</f>
        <v>2.15</v>
      </c>
      <c r="M48" s="435"/>
      <c r="N48" s="313">
        <v>2.1781999999999999</v>
      </c>
      <c r="O48" s="175">
        <v>2.0724</v>
      </c>
      <c r="P48" s="303">
        <v>1.9702999999999999</v>
      </c>
      <c r="Q48" s="214"/>
    </row>
    <row r="49" spans="1:17" x14ac:dyDescent="0.3">
      <c r="A49" s="214"/>
      <c r="B49" s="675"/>
      <c r="C49" s="648"/>
      <c r="D49" s="648"/>
      <c r="E49" s="650"/>
      <c r="F49" s="85" t="s">
        <v>131</v>
      </c>
      <c r="G49" s="85" t="s">
        <v>127</v>
      </c>
      <c r="H49" s="238">
        <v>0</v>
      </c>
      <c r="I49" s="175">
        <v>1.88</v>
      </c>
      <c r="J49" s="437">
        <f>IF($H49=1,MROUND(N49*ROUND('CRCP &amp; évolutions'!F$88,4),0.12),ROUND(N49*ROUND('CRCP &amp; évolutions'!F$88,4),2))</f>
        <v>1.8</v>
      </c>
      <c r="K49" s="437">
        <f>IF($H49=1,MROUND(O49*ROUND('CRCP &amp; évolutions'!G$88,4),0.12),ROUND(O49*ROUND('CRCP &amp; évolutions'!G$88,4),2))</f>
        <v>1.84</v>
      </c>
      <c r="L49" s="439">
        <f>IF($H49=1,MROUND(P49*ROUND('CRCP &amp; évolutions'!H$88,4),0.12),ROUND(P49*ROUND('CRCP &amp; évolutions'!H$88,4),2))</f>
        <v>1.82</v>
      </c>
      <c r="M49" s="435"/>
      <c r="N49" s="313">
        <v>1.7968</v>
      </c>
      <c r="O49" s="175">
        <v>1.722</v>
      </c>
      <c r="P49" s="303">
        <v>1.6601999999999999</v>
      </c>
      <c r="Q49" s="214"/>
    </row>
    <row r="50" spans="1:17" x14ac:dyDescent="0.3">
      <c r="A50" s="214"/>
      <c r="B50" s="675"/>
      <c r="C50" s="648"/>
      <c r="D50" s="648"/>
      <c r="E50" s="650"/>
      <c r="F50" s="85" t="s">
        <v>132</v>
      </c>
      <c r="G50" s="85" t="s">
        <v>127</v>
      </c>
      <c r="H50" s="238">
        <v>0</v>
      </c>
      <c r="I50" s="175">
        <v>1.57</v>
      </c>
      <c r="J50" s="437">
        <f>IF($H50=1,MROUND(N50*ROUND('CRCP &amp; évolutions'!F$88,4),0.12),ROUND(N50*ROUND('CRCP &amp; évolutions'!F$88,4),2))</f>
        <v>1.53</v>
      </c>
      <c r="K50" s="437">
        <f>IF($H50=1,MROUND(O50*ROUND('CRCP &amp; évolutions'!G$88,4),0.12),ROUND(O50*ROUND('CRCP &amp; évolutions'!G$88,4),2))</f>
        <v>1.57</v>
      </c>
      <c r="L50" s="439">
        <f>IF($H50=1,MROUND(P50*ROUND('CRCP &amp; évolutions'!H$88,4),0.12),ROUND(P50*ROUND('CRCP &amp; évolutions'!H$88,4),2))</f>
        <v>1.55</v>
      </c>
      <c r="M50" s="435"/>
      <c r="N50" s="313">
        <v>1.5257000000000001</v>
      </c>
      <c r="O50" s="175">
        <v>1.4717</v>
      </c>
      <c r="P50" s="303">
        <v>1.4201999999999999</v>
      </c>
      <c r="Q50" s="214"/>
    </row>
    <row r="51" spans="1:17" x14ac:dyDescent="0.3">
      <c r="A51" s="214"/>
      <c r="B51" s="675"/>
      <c r="C51" s="648"/>
      <c r="D51" s="648"/>
      <c r="E51" s="650"/>
      <c r="F51" s="85" t="s">
        <v>133</v>
      </c>
      <c r="G51" s="85" t="s">
        <v>127</v>
      </c>
      <c r="H51" s="238">
        <v>0</v>
      </c>
      <c r="I51" s="175">
        <v>1.18</v>
      </c>
      <c r="J51" s="437">
        <f>IF($H51=1,MROUND(N51*ROUND('CRCP &amp; évolutions'!F$88,4),0.12),ROUND(N51*ROUND('CRCP &amp; évolutions'!F$88,4),2))</f>
        <v>1.08</v>
      </c>
      <c r="K51" s="437">
        <f>IF($H51=1,MROUND(O51*ROUND('CRCP &amp; évolutions'!G$88,4),0.12),ROUND(O51*ROUND('CRCP &amp; évolutions'!G$88,4),2))</f>
        <v>1.06</v>
      </c>
      <c r="L51" s="439">
        <f>IF($H51=1,MROUND(P51*ROUND('CRCP &amp; évolutions'!H$88,4),0.12),ROUND(P51*ROUND('CRCP &amp; évolutions'!H$88,4),2))</f>
        <v>1</v>
      </c>
      <c r="M51" s="435"/>
      <c r="N51" s="313">
        <v>1.0841000000000001</v>
      </c>
      <c r="O51" s="175">
        <v>0.99109999999999998</v>
      </c>
      <c r="P51" s="303">
        <v>0.91010000000000002</v>
      </c>
      <c r="Q51" s="214"/>
    </row>
    <row r="52" spans="1:17" ht="16.5" thickBot="1" x14ac:dyDescent="0.35">
      <c r="A52" s="214"/>
      <c r="B52" s="647"/>
      <c r="C52" s="649"/>
      <c r="D52" s="649"/>
      <c r="E52" s="669"/>
      <c r="F52" s="219" t="s">
        <v>134</v>
      </c>
      <c r="G52" s="219" t="s">
        <v>127</v>
      </c>
      <c r="H52" s="237">
        <v>0</v>
      </c>
      <c r="I52" s="216">
        <v>0.85</v>
      </c>
      <c r="J52" s="217">
        <f>IF($H52=1,MROUND(N52*ROUND('CRCP &amp; évolutions'!F$88,4),0.12),ROUND(N52*ROUND('CRCP &amp; évolutions'!F$88,4),2))</f>
        <v>0.77</v>
      </c>
      <c r="K52" s="217">
        <f>IF($H52=1,MROUND(O52*ROUND('CRCP &amp; évolutions'!G$88,4),0.12),ROUND(O52*ROUND('CRCP &amp; évolutions'!G$88,4),2))</f>
        <v>0.76</v>
      </c>
      <c r="L52" s="438">
        <f>IF($H52=1,MROUND(P52*ROUND('CRCP &amp; évolutions'!H$88,4),0.12),ROUND(P52*ROUND('CRCP &amp; évolutions'!H$88,4),2))</f>
        <v>0.7</v>
      </c>
      <c r="M52" s="435"/>
      <c r="N52" s="314">
        <v>0.77290000000000003</v>
      </c>
      <c r="O52" s="216">
        <v>0.71079999999999999</v>
      </c>
      <c r="P52" s="312">
        <v>0.6401</v>
      </c>
      <c r="Q52" s="214"/>
    </row>
    <row r="53" spans="1:17" ht="15.75" customHeight="1" x14ac:dyDescent="0.3">
      <c r="A53" s="214"/>
      <c r="B53" s="646" t="s">
        <v>221</v>
      </c>
      <c r="C53" s="648" t="s">
        <v>128</v>
      </c>
      <c r="D53" s="648"/>
      <c r="E53" s="650"/>
      <c r="F53" s="85" t="s">
        <v>129</v>
      </c>
      <c r="G53" s="85" t="s">
        <v>130</v>
      </c>
      <c r="H53" s="238">
        <v>1</v>
      </c>
      <c r="I53" s="175">
        <v>16.63</v>
      </c>
      <c r="J53" s="437">
        <f>IF($H53=1,MROUND(N53*ROUND('CRCP &amp; évolutions'!F$88,4),0.12),ROUND(N53*ROUND('CRCP &amp; évolutions'!F$88,4),2))</f>
        <v>14.639999999999999</v>
      </c>
      <c r="K53" s="437">
        <f>IF($H53=1,MROUND(O53*ROUND('CRCP &amp; évolutions'!G$88,4),0.12),ROUND(O53*ROUND('CRCP &amp; évolutions'!G$88,4),2))</f>
        <v>13.559999999999999</v>
      </c>
      <c r="L53" s="439">
        <f>IF($H53=1,MROUND(P53*ROUND('CRCP &amp; évolutions'!H$88,4),0.12),ROUND(P53*ROUND('CRCP &amp; évolutions'!H$88,4),2))</f>
        <v>11.879999999999999</v>
      </c>
      <c r="M53" s="435"/>
      <c r="N53" s="315">
        <v>14.665100000000001</v>
      </c>
      <c r="O53" s="222">
        <v>12.7545</v>
      </c>
      <c r="P53" s="302">
        <v>10.881399999999999</v>
      </c>
      <c r="Q53" s="214"/>
    </row>
    <row r="54" spans="1:17" x14ac:dyDescent="0.3">
      <c r="A54" s="214"/>
      <c r="B54" s="675"/>
      <c r="C54" s="648"/>
      <c r="D54" s="648"/>
      <c r="E54" s="650"/>
      <c r="F54" s="85" t="s">
        <v>131</v>
      </c>
      <c r="G54" s="85" t="s">
        <v>130</v>
      </c>
      <c r="H54" s="238">
        <v>1</v>
      </c>
      <c r="I54" s="175">
        <v>16.02</v>
      </c>
      <c r="J54" s="437">
        <f>IF($H54=1,MROUND(N54*ROUND('CRCP &amp; évolutions'!F$88,4),0.12),ROUND(N54*ROUND('CRCP &amp; évolutions'!F$88,4),2))</f>
        <v>14.16</v>
      </c>
      <c r="K54" s="437">
        <f>IF($H54=1,MROUND(O54*ROUND('CRCP &amp; évolutions'!G$88,4),0.12),ROUND(O54*ROUND('CRCP &amp; évolutions'!G$88,4),2))</f>
        <v>13.32</v>
      </c>
      <c r="L54" s="439">
        <f>IF($H54=1,MROUND(P54*ROUND('CRCP &amp; évolutions'!H$88,4),0.12),ROUND(P54*ROUND('CRCP &amp; évolutions'!H$88,4),2))</f>
        <v>11.639999999999999</v>
      </c>
      <c r="M54" s="435"/>
      <c r="N54" s="313">
        <v>14.2034</v>
      </c>
      <c r="O54" s="175">
        <v>12.444100000000001</v>
      </c>
      <c r="P54" s="303">
        <v>10.6914</v>
      </c>
      <c r="Q54" s="214"/>
    </row>
    <row r="55" spans="1:17" x14ac:dyDescent="0.3">
      <c r="A55" s="214"/>
      <c r="B55" s="675"/>
      <c r="C55" s="648"/>
      <c r="D55" s="648"/>
      <c r="E55" s="650"/>
      <c r="F55" s="85" t="s">
        <v>132</v>
      </c>
      <c r="G55" s="85" t="s">
        <v>130</v>
      </c>
      <c r="H55" s="238">
        <v>1</v>
      </c>
      <c r="I55" s="175">
        <v>13.59</v>
      </c>
      <c r="J55" s="442">
        <f>IF($H55=1,MROUND(N55*ROUND('CRCP &amp; évolutions'!F$88,4),0.12),ROUND(N55*ROUND('CRCP &amp; évolutions'!F$88,4),2))</f>
        <v>12.36</v>
      </c>
      <c r="K55" s="437">
        <f>IF($H55=1,MROUND(O55*ROUND('CRCP &amp; évolutions'!G$88,4),0.12),ROUND(O55*ROUND('CRCP &amp; évolutions'!G$88,4),2))</f>
        <v>12</v>
      </c>
      <c r="L55" s="439">
        <f>IF($H55=1,MROUND(P55*ROUND('CRCP &amp; évolutions'!H$88,4),0.12),ROUND(P55*ROUND('CRCP &amp; évolutions'!H$88,4),2))</f>
        <v>11.04</v>
      </c>
      <c r="M55" s="435"/>
      <c r="N55" s="313">
        <v>12.416700000000001</v>
      </c>
      <c r="O55" s="175">
        <v>11.2728</v>
      </c>
      <c r="P55" s="303">
        <v>10.151400000000001</v>
      </c>
      <c r="Q55" s="214"/>
    </row>
    <row r="56" spans="1:17" x14ac:dyDescent="0.3">
      <c r="A56" s="214"/>
      <c r="B56" s="675"/>
      <c r="C56" s="648"/>
      <c r="D56" s="648"/>
      <c r="E56" s="650"/>
      <c r="F56" s="85" t="s">
        <v>133</v>
      </c>
      <c r="G56" s="85" t="s">
        <v>130</v>
      </c>
      <c r="H56" s="238">
        <v>1</v>
      </c>
      <c r="I56" s="175">
        <v>9.91</v>
      </c>
      <c r="J56" s="442">
        <f>IF($H56=1,MROUND(N56*ROUND('CRCP &amp; évolutions'!F$88,4),0.12),ROUND(N56*ROUND('CRCP &amp; évolutions'!F$88,4),2))</f>
        <v>9.84</v>
      </c>
      <c r="K56" s="437">
        <f>IF($H56=1,MROUND(O56*ROUND('CRCP &amp; évolutions'!G$88,4),0.12),ROUND(O56*ROUND('CRCP &amp; évolutions'!G$88,4),2))</f>
        <v>10.44</v>
      </c>
      <c r="L56" s="439">
        <f>IF($H56=1,MROUND(P56*ROUND('CRCP &amp; évolutions'!H$88,4),0.12),ROUND(P56*ROUND('CRCP &amp; évolutions'!H$88,4),2))</f>
        <v>10.68</v>
      </c>
      <c r="M56" s="435"/>
      <c r="N56" s="313">
        <v>9.8269000000000002</v>
      </c>
      <c r="O56" s="175">
        <v>9.7611000000000008</v>
      </c>
      <c r="P56" s="303">
        <v>9.7312999999999992</v>
      </c>
      <c r="Q56" s="214"/>
    </row>
    <row r="57" spans="1:17" x14ac:dyDescent="0.3">
      <c r="A57" s="214"/>
      <c r="B57" s="675"/>
      <c r="C57" s="648"/>
      <c r="D57" s="648"/>
      <c r="E57" s="650"/>
      <c r="F57" s="85" t="s">
        <v>134</v>
      </c>
      <c r="G57" s="85" t="s">
        <v>130</v>
      </c>
      <c r="H57" s="238">
        <v>1</v>
      </c>
      <c r="I57" s="175">
        <v>5.87</v>
      </c>
      <c r="J57" s="442">
        <f>IF($H57=1,MROUND(N57*ROUND('CRCP &amp; évolutions'!F$88,4),0.12),ROUND(N57*ROUND('CRCP &amp; évolutions'!F$88,4),2))</f>
        <v>7.08</v>
      </c>
      <c r="K57" s="437">
        <f>IF($H57=1,MROUND(O57*ROUND('CRCP &amp; évolutions'!G$88,4),0.12),ROUND(O57*ROUND('CRCP &amp; évolutions'!G$88,4),2))</f>
        <v>8.76</v>
      </c>
      <c r="L57" s="439">
        <f>IF($H57=1,MROUND(P57*ROUND('CRCP &amp; évolutions'!H$88,4),0.12),ROUND(P57*ROUND('CRCP &amp; évolutions'!H$88,4),2))</f>
        <v>10.32</v>
      </c>
      <c r="M57" s="435"/>
      <c r="N57" s="313">
        <v>7.0465</v>
      </c>
      <c r="O57" s="175">
        <v>8.2493999999999996</v>
      </c>
      <c r="P57" s="303">
        <v>9.4612999999999996</v>
      </c>
      <c r="Q57" s="214"/>
    </row>
    <row r="58" spans="1:17" ht="15.75" customHeight="1" x14ac:dyDescent="0.3">
      <c r="A58" s="214"/>
      <c r="B58" s="675"/>
      <c r="C58" s="648" t="s">
        <v>135</v>
      </c>
      <c r="D58" s="648"/>
      <c r="E58" s="650"/>
      <c r="F58" s="85" t="s">
        <v>129</v>
      </c>
      <c r="G58" s="85" t="s">
        <v>127</v>
      </c>
      <c r="H58" s="238">
        <v>0</v>
      </c>
      <c r="I58" s="175">
        <v>1.7</v>
      </c>
      <c r="J58" s="442">
        <f>IF($H58=1,MROUND(N58*ROUND('CRCP &amp; évolutions'!F$88,4),0.12),ROUND(N58*ROUND('CRCP &amp; évolutions'!F$88,4),2))</f>
        <v>1.64</v>
      </c>
      <c r="K58" s="437">
        <f>IF($H58=1,MROUND(O58*ROUND('CRCP &amp; évolutions'!G$88,4),0.12),ROUND(O58*ROUND('CRCP &amp; évolutions'!G$88,4),2))</f>
        <v>1.68</v>
      </c>
      <c r="L58" s="439">
        <f>IF($H58=1,MROUND(P58*ROUND('CRCP &amp; évolutions'!H$88,4),0.12),ROUND(P58*ROUND('CRCP &amp; évolutions'!H$88,4),2))</f>
        <v>1.65</v>
      </c>
      <c r="M58" s="435"/>
      <c r="N58" s="313">
        <v>1.6361000000000001</v>
      </c>
      <c r="O58" s="175">
        <v>1.5718000000000001</v>
      </c>
      <c r="P58" s="303">
        <v>1.5102</v>
      </c>
      <c r="Q58" s="214"/>
    </row>
    <row r="59" spans="1:17" x14ac:dyDescent="0.3">
      <c r="A59" s="214"/>
      <c r="B59" s="675"/>
      <c r="C59" s="648"/>
      <c r="D59" s="648"/>
      <c r="E59" s="650"/>
      <c r="F59" s="85" t="s">
        <v>131</v>
      </c>
      <c r="G59" s="85" t="s">
        <v>127</v>
      </c>
      <c r="H59" s="238">
        <v>0</v>
      </c>
      <c r="I59" s="175">
        <v>1.39</v>
      </c>
      <c r="J59" s="437">
        <f>IF($H59=1,MROUND(N59*ROUND('CRCP &amp; évolutions'!F$88,4),0.12),ROUND(N59*ROUND('CRCP &amp; évolutions'!F$88,4),2))</f>
        <v>1.38</v>
      </c>
      <c r="K59" s="437">
        <f>IF($H59=1,MROUND(O59*ROUND('CRCP &amp; évolutions'!G$88,4),0.12),ROUND(O59*ROUND('CRCP &amp; évolutions'!G$88,4),2))</f>
        <v>1.46</v>
      </c>
      <c r="L59" s="439">
        <f>IF($H59=1,MROUND(P59*ROUND('CRCP &amp; évolutions'!H$88,4),0.12),ROUND(P59*ROUND('CRCP &amp; évolutions'!H$88,4),2))</f>
        <v>1.49</v>
      </c>
      <c r="M59" s="435"/>
      <c r="N59" s="313">
        <v>1.3752</v>
      </c>
      <c r="O59" s="175">
        <v>1.3715999999999999</v>
      </c>
      <c r="P59" s="303">
        <v>1.3602000000000001</v>
      </c>
      <c r="Q59" s="214"/>
    </row>
    <row r="60" spans="1:17" x14ac:dyDescent="0.3">
      <c r="A60" s="214"/>
      <c r="B60" s="675"/>
      <c r="C60" s="648"/>
      <c r="D60" s="648"/>
      <c r="E60" s="650"/>
      <c r="F60" s="85" t="s">
        <v>132</v>
      </c>
      <c r="G60" s="85" t="s">
        <v>127</v>
      </c>
      <c r="H60" s="238">
        <v>0</v>
      </c>
      <c r="I60" s="175">
        <v>0.92</v>
      </c>
      <c r="J60" s="437">
        <f>IF($H60=1,MROUND(N60*ROUND('CRCP &amp; évolutions'!F$88,4),0.12),ROUND(N60*ROUND('CRCP &amp; évolutions'!F$88,4),2))</f>
        <v>1.01</v>
      </c>
      <c r="K60" s="437">
        <f>IF($H60=1,MROUND(O60*ROUND('CRCP &amp; évolutions'!G$88,4),0.12),ROUND(O60*ROUND('CRCP &amp; évolutions'!G$88,4),2))</f>
        <v>1.19</v>
      </c>
      <c r="L60" s="439">
        <f>IF($H60=1,MROUND(P60*ROUND('CRCP &amp; évolutions'!H$88,4),0.12),ROUND(P60*ROUND('CRCP &amp; évolutions'!H$88,4),2))</f>
        <v>1.33</v>
      </c>
      <c r="M60" s="435"/>
      <c r="N60" s="313">
        <v>1.0138</v>
      </c>
      <c r="O60" s="175">
        <v>1.1113</v>
      </c>
      <c r="P60" s="303">
        <v>1.2202</v>
      </c>
      <c r="Q60" s="214"/>
    </row>
    <row r="61" spans="1:17" x14ac:dyDescent="0.3">
      <c r="A61" s="214"/>
      <c r="B61" s="675"/>
      <c r="C61" s="648"/>
      <c r="D61" s="648"/>
      <c r="E61" s="650"/>
      <c r="F61" s="85" t="s">
        <v>133</v>
      </c>
      <c r="G61" s="85" t="s">
        <v>127</v>
      </c>
      <c r="H61" s="238">
        <v>0</v>
      </c>
      <c r="I61" s="175">
        <v>0.65</v>
      </c>
      <c r="J61" s="437">
        <f>IF($H61=1,MROUND(N61*ROUND('CRCP &amp; évolutions'!F$88,4),0.12),ROUND(N61*ROUND('CRCP &amp; évolutions'!F$88,4),2))</f>
        <v>0.7</v>
      </c>
      <c r="K61" s="437">
        <f>IF($H61=1,MROUND(O61*ROUND('CRCP &amp; évolutions'!G$88,4),0.12),ROUND(O61*ROUND('CRCP &amp; évolutions'!G$88,4),2))</f>
        <v>0.8</v>
      </c>
      <c r="L61" s="439">
        <f>IF($H61=1,MROUND(P61*ROUND('CRCP &amp; évolutions'!H$88,4),0.12),ROUND(P61*ROUND('CRCP &amp; évolutions'!H$88,4),2))</f>
        <v>0.87</v>
      </c>
      <c r="M61" s="435"/>
      <c r="N61" s="313">
        <v>0.7026</v>
      </c>
      <c r="O61" s="175">
        <v>0.75090000000000001</v>
      </c>
      <c r="P61" s="303">
        <v>0.80010000000000003</v>
      </c>
      <c r="Q61" s="214"/>
    </row>
    <row r="62" spans="1:17" ht="16.5" thickBot="1" x14ac:dyDescent="0.35">
      <c r="A62" s="214"/>
      <c r="B62" s="647"/>
      <c r="C62" s="649"/>
      <c r="D62" s="649"/>
      <c r="E62" s="669"/>
      <c r="F62" s="219" t="s">
        <v>134</v>
      </c>
      <c r="G62" s="219" t="s">
        <v>127</v>
      </c>
      <c r="H62" s="237">
        <v>0</v>
      </c>
      <c r="I62" s="216">
        <v>0.44</v>
      </c>
      <c r="J62" s="217">
        <f>IF($H62=1,MROUND(N62*ROUND('CRCP &amp; évolutions'!F$88,4),0.12),ROUND(N62*ROUND('CRCP &amp; évolutions'!F$88,4),2))</f>
        <v>0.5</v>
      </c>
      <c r="K62" s="217">
        <f>IF($H62=1,MROUND(O62*ROUND('CRCP &amp; évolutions'!G$88,4),0.12),ROUND(O62*ROUND('CRCP &amp; évolutions'!G$88,4),2))</f>
        <v>0.59</v>
      </c>
      <c r="L62" s="438">
        <f>IF($H62=1,MROUND(P62*ROUND('CRCP &amp; évolutions'!H$88,4),0.12),ROUND(P62*ROUND('CRCP &amp; évolutions'!H$88,4),2))</f>
        <v>0.66</v>
      </c>
      <c r="M62" s="435"/>
      <c r="N62" s="314">
        <v>0.50190000000000001</v>
      </c>
      <c r="O62" s="216">
        <v>0.55059999999999998</v>
      </c>
      <c r="P62" s="312">
        <v>0.60009999999999997</v>
      </c>
      <c r="Q62" s="214"/>
    </row>
    <row r="63" spans="1:17" ht="15.75" customHeight="1" x14ac:dyDescent="0.3">
      <c r="A63" s="214"/>
      <c r="B63" s="646" t="s">
        <v>222</v>
      </c>
      <c r="C63" s="648" t="s">
        <v>128</v>
      </c>
      <c r="D63" s="648"/>
      <c r="E63" s="650"/>
      <c r="F63" s="85" t="s">
        <v>129</v>
      </c>
      <c r="G63" s="85" t="s">
        <v>130</v>
      </c>
      <c r="H63" s="238">
        <v>1</v>
      </c>
      <c r="I63" s="175">
        <v>32.17</v>
      </c>
      <c r="J63" s="437">
        <f>IF($H63=1,MROUND(N63*ROUND('CRCP &amp; évolutions'!F$88,4),0.12),ROUND(N63*ROUND('CRCP &amp; évolutions'!F$88,4),2))</f>
        <v>32.64</v>
      </c>
      <c r="K63" s="437">
        <f>IF($H63=1,MROUND(O63*ROUND('CRCP &amp; évolutions'!G$88,4),0.12),ROUND(O63*ROUND('CRCP &amp; évolutions'!G$88,4),2))</f>
        <v>35.4</v>
      </c>
      <c r="L63" s="439">
        <f>IF($H63=1,MROUND(P63*ROUND('CRCP &amp; évolutions'!H$88,4),0.12),ROUND(P63*ROUND('CRCP &amp; évolutions'!H$88,4),2))</f>
        <v>36.96</v>
      </c>
      <c r="M63" s="435"/>
      <c r="N63" s="315">
        <v>32.622599999999998</v>
      </c>
      <c r="O63" s="222">
        <v>33.1877</v>
      </c>
      <c r="P63" s="302">
        <v>33.8245</v>
      </c>
      <c r="Q63" s="214"/>
    </row>
    <row r="64" spans="1:17" x14ac:dyDescent="0.3">
      <c r="A64" s="214"/>
      <c r="B64" s="675"/>
      <c r="C64" s="648"/>
      <c r="D64" s="648"/>
      <c r="E64" s="650"/>
      <c r="F64" s="85" t="s">
        <v>131</v>
      </c>
      <c r="G64" s="85" t="s">
        <v>130</v>
      </c>
      <c r="H64" s="238">
        <v>1</v>
      </c>
      <c r="I64" s="175">
        <v>30.99</v>
      </c>
      <c r="J64" s="437">
        <f>IF($H64=1,MROUND(N64*ROUND('CRCP &amp; évolutions'!F$88,4),0.12),ROUND(N64*ROUND('CRCP &amp; évolutions'!F$88,4),2))</f>
        <v>31.32</v>
      </c>
      <c r="K64" s="437">
        <f>IF($H64=1,MROUND(O64*ROUND('CRCP &amp; évolutions'!G$88,4),0.12),ROUND(O64*ROUND('CRCP &amp; évolutions'!G$88,4),2))</f>
        <v>33.839999999999996</v>
      </c>
      <c r="L64" s="439">
        <f>IF($H64=1,MROUND(P64*ROUND('CRCP &amp; évolutions'!H$88,4),0.12),ROUND(P64*ROUND('CRCP &amp; évolutions'!H$88,4),2))</f>
        <v>34.199999999999996</v>
      </c>
      <c r="M64" s="435"/>
      <c r="N64" s="313">
        <v>31.317699999999999</v>
      </c>
      <c r="O64" s="175">
        <v>31.746099999999998</v>
      </c>
      <c r="P64" s="303">
        <v>31.234300000000001</v>
      </c>
      <c r="Q64" s="214"/>
    </row>
    <row r="65" spans="1:17" x14ac:dyDescent="0.3">
      <c r="A65" s="214"/>
      <c r="B65" s="675"/>
      <c r="C65" s="648"/>
      <c r="D65" s="648"/>
      <c r="E65" s="650"/>
      <c r="F65" s="85" t="s">
        <v>132</v>
      </c>
      <c r="G65" s="85" t="s">
        <v>130</v>
      </c>
      <c r="H65" s="238">
        <v>1</v>
      </c>
      <c r="I65" s="175">
        <v>24.86</v>
      </c>
      <c r="J65" s="437">
        <f>IF($H65=1,MROUND(N65*ROUND('CRCP &amp; évolutions'!F$88,4),0.12),ROUND(N65*ROUND('CRCP &amp; évolutions'!F$88,4),2))</f>
        <v>24.96</v>
      </c>
      <c r="K65" s="437">
        <f>IF($H65=1,MROUND(O65*ROUND('CRCP &amp; évolutions'!G$88,4),0.12),ROUND(O65*ROUND('CRCP &amp; évolutions'!G$88,4),2))</f>
        <v>26.88</v>
      </c>
      <c r="L65" s="439">
        <f>IF($H65=1,MROUND(P65*ROUND('CRCP &amp; évolutions'!H$88,4),0.12),ROUND(P65*ROUND('CRCP &amp; évolutions'!H$88,4),2))</f>
        <v>27.959999999999997</v>
      </c>
      <c r="M65" s="435"/>
      <c r="N65" s="313">
        <v>25.013999999999999</v>
      </c>
      <c r="O65" s="175">
        <v>25.238700000000001</v>
      </c>
      <c r="P65" s="303">
        <v>25.523399999999999</v>
      </c>
      <c r="Q65" s="214"/>
    </row>
    <row r="66" spans="1:17" x14ac:dyDescent="0.3">
      <c r="A66" s="214"/>
      <c r="B66" s="675"/>
      <c r="C66" s="648"/>
      <c r="D66" s="648"/>
      <c r="E66" s="650"/>
      <c r="F66" s="85" t="s">
        <v>133</v>
      </c>
      <c r="G66" s="85" t="s">
        <v>130</v>
      </c>
      <c r="H66" s="238">
        <v>1</v>
      </c>
      <c r="I66" s="175">
        <v>17.489999999999998</v>
      </c>
      <c r="J66" s="437">
        <f>IF($H66=1,MROUND(N66*ROUND('CRCP &amp; évolutions'!F$88,4),0.12),ROUND(N66*ROUND('CRCP &amp; évolutions'!F$88,4),2))</f>
        <v>17.399999999999999</v>
      </c>
      <c r="K66" s="437">
        <f>IF($H66=1,MROUND(O66*ROUND('CRCP &amp; évolutions'!G$88,4),0.12),ROUND(O66*ROUND('CRCP &amp; évolutions'!G$88,4),2))</f>
        <v>18.48</v>
      </c>
      <c r="L66" s="439">
        <f>IF($H66=1,MROUND(P66*ROUND('CRCP &amp; évolutions'!H$88,4),0.12),ROUND(P66*ROUND('CRCP &amp; évolutions'!H$88,4),2))</f>
        <v>18.84</v>
      </c>
      <c r="M66" s="435"/>
      <c r="N66" s="313">
        <v>17.3552</v>
      </c>
      <c r="O66" s="175">
        <v>17.279599999999999</v>
      </c>
      <c r="P66" s="303">
        <v>17.222300000000001</v>
      </c>
      <c r="Q66" s="214"/>
    </row>
    <row r="67" spans="1:17" x14ac:dyDescent="0.3">
      <c r="A67" s="214"/>
      <c r="B67" s="675"/>
      <c r="C67" s="648"/>
      <c r="D67" s="648"/>
      <c r="E67" s="650"/>
      <c r="F67" s="85" t="s">
        <v>134</v>
      </c>
      <c r="G67" s="85" t="s">
        <v>130</v>
      </c>
      <c r="H67" s="238">
        <v>1</v>
      </c>
      <c r="I67" s="175">
        <v>9.94</v>
      </c>
      <c r="J67" s="437">
        <f>IF($H67=1,MROUND(N67*ROUND('CRCP &amp; évolutions'!F$88,4),0.12),ROUND(N67*ROUND('CRCP &amp; évolutions'!F$88,4),2))</f>
        <v>10.799999999999999</v>
      </c>
      <c r="K67" s="437">
        <f>IF($H67=1,MROUND(O67*ROUND('CRCP &amp; évolutions'!G$88,4),0.12),ROUND(O67*ROUND('CRCP &amp; évolutions'!G$88,4),2))</f>
        <v>12.48</v>
      </c>
      <c r="L67" s="439">
        <f>IF($H67=1,MROUND(P67*ROUND('CRCP &amp; évolutions'!H$88,4),0.12),ROUND(P67*ROUND('CRCP &amp; évolutions'!H$88,4),2))</f>
        <v>13.799999999999999</v>
      </c>
      <c r="M67" s="435"/>
      <c r="N67" s="313">
        <v>10.800599999999999</v>
      </c>
      <c r="O67" s="175">
        <v>11.693300000000001</v>
      </c>
      <c r="P67" s="303">
        <v>12.601699999999999</v>
      </c>
      <c r="Q67" s="214"/>
    </row>
    <row r="68" spans="1:17" ht="15.75" customHeight="1" x14ac:dyDescent="0.3">
      <c r="A68" s="214"/>
      <c r="B68" s="675"/>
      <c r="C68" s="648" t="s">
        <v>135</v>
      </c>
      <c r="D68" s="648"/>
      <c r="E68" s="650"/>
      <c r="F68" s="85" t="s">
        <v>129</v>
      </c>
      <c r="G68" s="85" t="s">
        <v>127</v>
      </c>
      <c r="H68" s="238">
        <v>0</v>
      </c>
      <c r="I68" s="175">
        <v>1.24</v>
      </c>
      <c r="J68" s="437">
        <f>IF($H68=1,MROUND(N68*ROUND('CRCP &amp; évolutions'!F$88,4),0.12),ROUND(N68*ROUND('CRCP &amp; évolutions'!F$88,4),2))</f>
        <v>1.03</v>
      </c>
      <c r="K68" s="437">
        <f>IF($H68=1,MROUND(O68*ROUND('CRCP &amp; évolutions'!G$88,4),0.12),ROUND(O68*ROUND('CRCP &amp; évolutions'!G$88,4),2))</f>
        <v>0.89</v>
      </c>
      <c r="L68" s="439">
        <f>IF($H68=1,MROUND(P68*ROUND('CRCP &amp; évolutions'!H$88,4),0.12),ROUND(P68*ROUND('CRCP &amp; évolutions'!H$88,4),2))</f>
        <v>0.69</v>
      </c>
      <c r="M68" s="435"/>
      <c r="N68" s="313">
        <v>1.0339</v>
      </c>
      <c r="O68" s="175">
        <v>0.83089999999999997</v>
      </c>
      <c r="P68" s="303">
        <v>0.63009999999999999</v>
      </c>
      <c r="Q68" s="214"/>
    </row>
    <row r="69" spans="1:17" ht="15.75" customHeight="1" x14ac:dyDescent="0.3">
      <c r="A69" s="214"/>
      <c r="B69" s="675"/>
      <c r="C69" s="648"/>
      <c r="D69" s="648"/>
      <c r="E69" s="650"/>
      <c r="F69" s="85" t="s">
        <v>131</v>
      </c>
      <c r="G69" s="85" t="s">
        <v>127</v>
      </c>
      <c r="H69" s="238">
        <v>0</v>
      </c>
      <c r="I69" s="175">
        <v>0.95</v>
      </c>
      <c r="J69" s="437">
        <f>IF($H69=1,MROUND(N69*ROUND('CRCP &amp; évolutions'!F$88,4),0.12),ROUND(N69*ROUND('CRCP &amp; évolutions'!F$88,4),2))</f>
        <v>0.83</v>
      </c>
      <c r="K69" s="437">
        <f>IF($H69=1,MROUND(O69*ROUND('CRCP &amp; évolutions'!G$88,4),0.12),ROUND(O69*ROUND('CRCP &amp; évolutions'!G$88,4),2))</f>
        <v>0.77</v>
      </c>
      <c r="L69" s="439">
        <f>IF($H69=1,MROUND(P69*ROUND('CRCP &amp; évolutions'!H$88,4),0.12),ROUND(P69*ROUND('CRCP &amp; évolutions'!H$88,4),2))</f>
        <v>0.67</v>
      </c>
      <c r="M69" s="435"/>
      <c r="N69" s="313">
        <v>0.83309999999999995</v>
      </c>
      <c r="O69" s="175">
        <v>0.7208</v>
      </c>
      <c r="P69" s="303">
        <v>0.61009999999999998</v>
      </c>
      <c r="Q69" s="214"/>
    </row>
    <row r="70" spans="1:17" ht="15.75" customHeight="1" x14ac:dyDescent="0.3">
      <c r="A70" s="214"/>
      <c r="B70" s="675"/>
      <c r="C70" s="648"/>
      <c r="D70" s="648"/>
      <c r="E70" s="650"/>
      <c r="F70" s="85" t="s">
        <v>132</v>
      </c>
      <c r="G70" s="85" t="s">
        <v>127</v>
      </c>
      <c r="H70" s="238">
        <v>0</v>
      </c>
      <c r="I70" s="175">
        <v>0.6</v>
      </c>
      <c r="J70" s="437">
        <f>IF($H70=1,MROUND(N70*ROUND('CRCP &amp; évolutions'!F$88,4),0.12),ROUND(N70*ROUND('CRCP &amp; évolutions'!F$88,4),2))</f>
        <v>0.56999999999999995</v>
      </c>
      <c r="K70" s="437">
        <f>IF($H70=1,MROUND(O70*ROUND('CRCP &amp; évolutions'!G$88,4),0.12),ROUND(O70*ROUND('CRCP &amp; évolutions'!G$88,4),2))</f>
        <v>0.57999999999999996</v>
      </c>
      <c r="L70" s="439">
        <f>IF($H70=1,MROUND(P70*ROUND('CRCP &amp; évolutions'!H$88,4),0.12),ROUND(P70*ROUND('CRCP &amp; évolutions'!H$88,4),2))</f>
        <v>0.56999999999999995</v>
      </c>
      <c r="M70" s="435"/>
      <c r="N70" s="313">
        <v>0.57220000000000004</v>
      </c>
      <c r="O70" s="175">
        <v>0.54059999999999997</v>
      </c>
      <c r="P70" s="303">
        <v>0.52010000000000001</v>
      </c>
      <c r="Q70" s="214"/>
    </row>
    <row r="71" spans="1:17" x14ac:dyDescent="0.3">
      <c r="A71" s="214"/>
      <c r="B71" s="675"/>
      <c r="C71" s="648"/>
      <c r="D71" s="648"/>
      <c r="E71" s="650"/>
      <c r="F71" s="85" t="s">
        <v>133</v>
      </c>
      <c r="G71" s="85" t="s">
        <v>127</v>
      </c>
      <c r="H71" s="238">
        <v>0</v>
      </c>
      <c r="I71" s="175">
        <v>0.41</v>
      </c>
      <c r="J71" s="437">
        <f>IF($H71=1,MROUND(N71*ROUND('CRCP &amp; évolutions'!F$88,4),0.12),ROUND(N71*ROUND('CRCP &amp; évolutions'!F$88,4),2))</f>
        <v>0.43</v>
      </c>
      <c r="K71" s="437">
        <f>IF($H71=1,MROUND(O71*ROUND('CRCP &amp; évolutions'!G$88,4),0.12),ROUND(O71*ROUND('CRCP &amp; évolutions'!G$88,4),2))</f>
        <v>0.49</v>
      </c>
      <c r="L71" s="439">
        <f>IF($H71=1,MROUND(P71*ROUND('CRCP &amp; évolutions'!H$88,4),0.12),ROUND(P71*ROUND('CRCP &amp; évolutions'!H$88,4),2))</f>
        <v>0.52</v>
      </c>
      <c r="M71" s="435"/>
      <c r="N71" s="313">
        <v>0.43159999999999998</v>
      </c>
      <c r="O71" s="175">
        <v>0.46050000000000002</v>
      </c>
      <c r="P71" s="303">
        <v>0.48010000000000003</v>
      </c>
      <c r="Q71" s="214"/>
    </row>
    <row r="72" spans="1:17" ht="16.5" thickBot="1" x14ac:dyDescent="0.35">
      <c r="A72" s="214"/>
      <c r="B72" s="647"/>
      <c r="C72" s="648"/>
      <c r="D72" s="648"/>
      <c r="E72" s="650"/>
      <c r="F72" s="85" t="s">
        <v>134</v>
      </c>
      <c r="G72" s="85" t="s">
        <v>127</v>
      </c>
      <c r="H72" s="238">
        <v>0</v>
      </c>
      <c r="I72" s="175">
        <v>0.21</v>
      </c>
      <c r="J72" s="176">
        <f>IF($H72=1,MROUND(N72*ROUND('CRCP &amp; évolutions'!F$88,4),0.12),ROUND(N72*ROUND('CRCP &amp; évolutions'!F$88,4),2))</f>
        <v>0.27</v>
      </c>
      <c r="K72" s="176">
        <f>IF($H72=1,MROUND(O72*ROUND('CRCP &amp; évolutions'!G$88,4),0.12),ROUND(O72*ROUND('CRCP &amp; évolutions'!G$88,4),2))</f>
        <v>0.35</v>
      </c>
      <c r="L72" s="439">
        <f>IF($H72=1,MROUND(P72*ROUND('CRCP &amp; évolutions'!H$88,4),0.12),ROUND(P72*ROUND('CRCP &amp; évolutions'!H$88,4),2))</f>
        <v>0.44</v>
      </c>
      <c r="M72" s="435"/>
      <c r="N72" s="314">
        <v>0.27100000000000002</v>
      </c>
      <c r="O72" s="216">
        <v>0.33040000000000003</v>
      </c>
      <c r="P72" s="312">
        <v>0.40010000000000001</v>
      </c>
      <c r="Q72" s="305"/>
    </row>
    <row r="73" spans="1:17" ht="15" customHeight="1" x14ac:dyDescent="0.3">
      <c r="A73" s="214"/>
      <c r="B73" s="651" t="s">
        <v>223</v>
      </c>
      <c r="C73" s="670" t="s">
        <v>123</v>
      </c>
      <c r="D73" s="671"/>
      <c r="E73" s="672"/>
      <c r="F73" s="464" t="s">
        <v>37</v>
      </c>
      <c r="G73" s="478" t="s">
        <v>136</v>
      </c>
      <c r="H73" s="479">
        <v>0</v>
      </c>
      <c r="I73" s="465">
        <v>106930.88</v>
      </c>
      <c r="J73" s="556">
        <f>IF($H73=1,MROUND($I73*ROUND('CRCP &amp; évolutions'!F$88,4),0.12),ROUND($I73*ROUND('CRCP &amp; évolutions'!F$88,4),2))</f>
        <v>106920.19</v>
      </c>
      <c r="K73" s="556">
        <f>IF($H73=1,MROUND($I73*ROUND('CRCP &amp; évolutions'!G$88,4),0.12),ROUND($I73*ROUND('CRCP &amp; évolutions'!G$88,4),2))</f>
        <v>114073.86</v>
      </c>
      <c r="L73" s="557">
        <f>IF($H73=1,MROUND($I73*ROUND('CRCP &amp; évolutions'!H$88,4),0.12),ROUND($I73*ROUND('CRCP &amp; évolutions'!H$88,4),2))</f>
        <v>116918.22</v>
      </c>
      <c r="M73" s="435"/>
    </row>
    <row r="74" spans="1:17" ht="15" customHeight="1" x14ac:dyDescent="0.3">
      <c r="A74" s="214"/>
      <c r="B74" s="652"/>
      <c r="C74" s="655"/>
      <c r="D74" s="645"/>
      <c r="E74" s="656"/>
      <c r="F74" s="85" t="s">
        <v>137</v>
      </c>
      <c r="G74" s="93" t="s">
        <v>138</v>
      </c>
      <c r="H74" s="240">
        <v>0</v>
      </c>
      <c r="I74" s="175">
        <v>10135.99</v>
      </c>
      <c r="J74" s="558">
        <f>IF($H74=1,MROUND($I74*ROUND('CRCP &amp; évolutions'!F$88,4),0.12),ROUND($I74*ROUND('CRCP &amp; évolutions'!F$88,4),2))</f>
        <v>10134.98</v>
      </c>
      <c r="K74" s="559">
        <f>IF($H74=1,MROUND($I74*ROUND('CRCP &amp; évolutions'!G$88,4),0.12),ROUND($I74*ROUND('CRCP &amp; évolutions'!G$88,4),2))</f>
        <v>10813.07</v>
      </c>
      <c r="L74" s="560">
        <f>IF($H74=1,MROUND($I74*ROUND('CRCP &amp; évolutions'!H$88,4),0.12),ROUND($I74*ROUND('CRCP &amp; évolutions'!H$88,4),2))</f>
        <v>11082.69</v>
      </c>
      <c r="M74" s="435"/>
    </row>
    <row r="75" spans="1:17" x14ac:dyDescent="0.3">
      <c r="A75" s="214"/>
      <c r="B75" s="652"/>
      <c r="C75" s="655" t="s">
        <v>125</v>
      </c>
      <c r="D75" s="645"/>
      <c r="E75" s="656"/>
      <c r="F75" s="85" t="s">
        <v>37</v>
      </c>
      <c r="G75" s="93" t="s">
        <v>136</v>
      </c>
      <c r="H75" s="240">
        <v>0</v>
      </c>
      <c r="I75" s="175">
        <v>64488.15</v>
      </c>
      <c r="J75" s="558">
        <f>IF($H75=1,MROUND($I75*ROUND('CRCP &amp; évolutions'!F$88,4),0.12),ROUND($I75*ROUND('CRCP &amp; évolutions'!F$88,4),2))</f>
        <v>64481.7</v>
      </c>
      <c r="K75" s="559">
        <f>IF($H75=1,MROUND($I75*ROUND('CRCP &amp; évolutions'!G$88,4),0.12),ROUND($I75*ROUND('CRCP &amp; évolutions'!G$88,4),2))</f>
        <v>68795.960000000006</v>
      </c>
      <c r="L75" s="560">
        <f>IF($H75=1,MROUND($I75*ROUND('CRCP &amp; évolutions'!H$88,4),0.12),ROUND($I75*ROUND('CRCP &amp; évolutions'!H$88,4),2))</f>
        <v>70511.34</v>
      </c>
      <c r="M75" s="435"/>
    </row>
    <row r="76" spans="1:17" ht="31.5" x14ac:dyDescent="0.3">
      <c r="A76" s="214"/>
      <c r="B76" s="652"/>
      <c r="C76" s="655"/>
      <c r="D76" s="645"/>
      <c r="E76" s="656"/>
      <c r="F76" s="85" t="s">
        <v>139</v>
      </c>
      <c r="G76" s="93" t="s">
        <v>138</v>
      </c>
      <c r="H76" s="240">
        <v>0</v>
      </c>
      <c r="I76" s="175">
        <v>6462.01</v>
      </c>
      <c r="J76" s="558">
        <f>IF($H76=1,MROUND($I76*ROUND('CRCP &amp; évolutions'!F$88,4),0.12),ROUND($I76*ROUND('CRCP &amp; évolutions'!F$88,4),2))</f>
        <v>6461.36</v>
      </c>
      <c r="K76" s="559">
        <f>IF($H76=1,MROUND($I76*ROUND('CRCP &amp; évolutions'!G$88,4),0.12),ROUND($I76*ROUND('CRCP &amp; évolutions'!G$88,4),2))</f>
        <v>6893.67</v>
      </c>
      <c r="L76" s="560">
        <f>IF($H76=1,MROUND($I76*ROUND('CRCP &amp; évolutions'!H$88,4),0.12),ROUND($I76*ROUND('CRCP &amp; évolutions'!H$88,4),2))</f>
        <v>7065.56</v>
      </c>
      <c r="M76" s="435"/>
    </row>
    <row r="77" spans="1:17" ht="31.5" x14ac:dyDescent="0.3">
      <c r="A77" s="214"/>
      <c r="B77" s="652"/>
      <c r="C77" s="655"/>
      <c r="D77" s="645"/>
      <c r="E77" s="656"/>
      <c r="F77" s="85" t="s">
        <v>140</v>
      </c>
      <c r="G77" s="93" t="s">
        <v>138</v>
      </c>
      <c r="H77" s="240">
        <v>0</v>
      </c>
      <c r="I77" s="175">
        <v>32308.87</v>
      </c>
      <c r="J77" s="558">
        <f>IF($H77=1,MROUND($I77*ROUND('CRCP &amp; évolutions'!F$88,4),0.12),ROUND($I77*ROUND('CRCP &amp; évolutions'!F$88,4),2))</f>
        <v>32305.64</v>
      </c>
      <c r="K77" s="559">
        <f>IF($H77=1,MROUND($I77*ROUND('CRCP &amp; évolutions'!G$88,4),0.12),ROUND($I77*ROUND('CRCP &amp; évolutions'!G$88,4),2))</f>
        <v>34467.1</v>
      </c>
      <c r="L77" s="560">
        <f>IF($H77=1,MROUND($I77*ROUND('CRCP &amp; évolutions'!H$88,4),0.12),ROUND($I77*ROUND('CRCP &amp; évolutions'!H$88,4),2))</f>
        <v>35326.519999999997</v>
      </c>
      <c r="M77" s="435"/>
    </row>
    <row r="78" spans="1:17" x14ac:dyDescent="0.3">
      <c r="A78" s="214"/>
      <c r="B78" s="652"/>
      <c r="C78" s="655" t="s">
        <v>126</v>
      </c>
      <c r="D78" s="645"/>
      <c r="E78" s="656"/>
      <c r="F78" s="85" t="s">
        <v>37</v>
      </c>
      <c r="G78" s="93" t="s">
        <v>136</v>
      </c>
      <c r="H78" s="240">
        <v>0</v>
      </c>
      <c r="I78" s="175">
        <v>33496.46</v>
      </c>
      <c r="J78" s="561">
        <f>IF($H78=1,MROUND($I78*ROUND('CRCP &amp; évolutions'!F$88,4),0.12),ROUND($I78*ROUND('CRCP &amp; évolutions'!F$88,4),2))</f>
        <v>33493.11</v>
      </c>
      <c r="K78" s="559">
        <f>IF($H78=1,MROUND($I78*ROUND('CRCP &amp; évolutions'!G$88,4),0.12),ROUND($I78*ROUND('CRCP &amp; évolutions'!G$88,4),2))</f>
        <v>35734.019999999997</v>
      </c>
      <c r="L78" s="560">
        <f>IF($H78=1,MROUND($I78*ROUND('CRCP &amp; évolutions'!H$88,4),0.12),ROUND($I78*ROUND('CRCP &amp; évolutions'!H$88,4),2))</f>
        <v>36625.03</v>
      </c>
      <c r="M78" s="435"/>
    </row>
    <row r="79" spans="1:17" ht="31.5" x14ac:dyDescent="0.3">
      <c r="A79" s="214"/>
      <c r="B79" s="652"/>
      <c r="C79" s="655"/>
      <c r="D79" s="645"/>
      <c r="E79" s="656"/>
      <c r="F79" s="85" t="s">
        <v>139</v>
      </c>
      <c r="G79" s="93" t="s">
        <v>138</v>
      </c>
      <c r="H79" s="240">
        <v>0</v>
      </c>
      <c r="I79" s="175">
        <v>3834.42</v>
      </c>
      <c r="J79" s="558">
        <f>IF($H79=1,MROUND($I79*ROUND('CRCP &amp; évolutions'!F$88,4),0.12),ROUND($I79*ROUND('CRCP &amp; évolutions'!F$88,4),2))</f>
        <v>3834.04</v>
      </c>
      <c r="K79" s="559">
        <f>IF($H79=1,MROUND($I79*ROUND('CRCP &amp; évolutions'!G$88,4),0.12),ROUND($I79*ROUND('CRCP &amp; évolutions'!G$88,4),2))</f>
        <v>4090.56</v>
      </c>
      <c r="L79" s="560">
        <f>IF($H79=1,MROUND($I79*ROUND('CRCP &amp; évolutions'!H$88,4),0.12),ROUND($I79*ROUND('CRCP &amp; évolutions'!H$88,4),2))</f>
        <v>4192.55</v>
      </c>
      <c r="M79" s="435"/>
    </row>
    <row r="80" spans="1:17" ht="32.25" thickBot="1" x14ac:dyDescent="0.35">
      <c r="A80" s="214"/>
      <c r="B80" s="652"/>
      <c r="C80" s="655"/>
      <c r="D80" s="645"/>
      <c r="E80" s="656"/>
      <c r="F80" s="85" t="s">
        <v>140</v>
      </c>
      <c r="G80" s="93" t="s">
        <v>138</v>
      </c>
      <c r="H80" s="240">
        <v>0</v>
      </c>
      <c r="I80" s="175">
        <v>7668.84</v>
      </c>
      <c r="J80" s="559">
        <f>IF($H80=1,MROUND($I80*ROUND('CRCP &amp; évolutions'!F$88,4),0.12),ROUND($I80*ROUND('CRCP &amp; évolutions'!F$88,4),2))</f>
        <v>7668.07</v>
      </c>
      <c r="K80" s="559">
        <f>IF($H80=1,MROUND($I80*ROUND('CRCP &amp; évolutions'!G$88,4),0.12),ROUND($I80*ROUND('CRCP &amp; évolutions'!G$88,4),2))</f>
        <v>8181.12</v>
      </c>
      <c r="L80" s="560">
        <f>IF($H80=1,MROUND($I80*ROUND('CRCP &amp; évolutions'!H$88,4),0.12),ROUND($I80*ROUND('CRCP &amp; évolutions'!H$88,4),2))</f>
        <v>8385.11</v>
      </c>
      <c r="M80" s="435"/>
    </row>
    <row r="81" spans="1:19" ht="47.25" customHeight="1" x14ac:dyDescent="0.3">
      <c r="B81" s="657" t="s">
        <v>224</v>
      </c>
      <c r="C81" s="658"/>
      <c r="D81" s="658"/>
      <c r="E81" s="659"/>
      <c r="F81" s="478" t="s">
        <v>125</v>
      </c>
      <c r="G81" s="478" t="s">
        <v>141</v>
      </c>
      <c r="H81" s="479">
        <v>0</v>
      </c>
      <c r="I81" s="465">
        <v>1.55</v>
      </c>
      <c r="J81" s="491">
        <f>IF($H81=1,MROUND($I81*ROUND('CRCP &amp; évolutions'!F$88,4),0.12),ROUND($I81*ROUND('CRCP &amp; évolutions'!F$88,4),2))</f>
        <v>1.55</v>
      </c>
      <c r="K81" s="491">
        <f>IF($H81=1,MROUND($I81*ROUND('CRCP &amp; évolutions'!G$88,4),0.12),ROUND($I81*ROUND('CRCP &amp; évolutions'!G$88,4),2))</f>
        <v>1.65</v>
      </c>
      <c r="L81" s="492">
        <f>IF($H81=1,MROUND($I81*ROUND('CRCP &amp; évolutions'!H$88,4),0.12),ROUND($I81*ROUND('CRCP &amp; évolutions'!H$88,4),2))</f>
        <v>1.69</v>
      </c>
      <c r="M81" s="435"/>
    </row>
    <row r="82" spans="1:19" ht="47.25" customHeight="1" thickBot="1" x14ac:dyDescent="0.35">
      <c r="B82" s="660"/>
      <c r="C82" s="661"/>
      <c r="D82" s="661"/>
      <c r="E82" s="662"/>
      <c r="F82" s="481" t="s">
        <v>126</v>
      </c>
      <c r="G82" s="481" t="s">
        <v>141</v>
      </c>
      <c r="H82" s="482">
        <v>0</v>
      </c>
      <c r="I82" s="470">
        <v>2.98</v>
      </c>
      <c r="J82" s="477">
        <f>IF($H82=1,MROUND($I82*ROUND('CRCP &amp; évolutions'!F$88,4),0.12),ROUND($I82*ROUND('CRCP &amp; évolutions'!F$88,4),2))</f>
        <v>2.98</v>
      </c>
      <c r="K82" s="477">
        <f>IF($H82=1,MROUND($I82*ROUND('CRCP &amp; évolutions'!G$88,4),0.12),ROUND($I82*ROUND('CRCP &amp; évolutions'!G$88,4),2))</f>
        <v>3.18</v>
      </c>
      <c r="L82" s="483">
        <f>IF($H82=1,MROUND($I82*ROUND('CRCP &amp; évolutions'!H$88,4),0.12),ROUND($I82*ROUND('CRCP &amp; évolutions'!H$88,4),2))</f>
        <v>3.26</v>
      </c>
      <c r="M82" s="435"/>
    </row>
    <row r="83" spans="1:19" ht="16.5" customHeight="1" x14ac:dyDescent="0.3">
      <c r="B83" s="695" t="s">
        <v>225</v>
      </c>
      <c r="C83" s="645" t="s">
        <v>123</v>
      </c>
      <c r="D83" s="645"/>
      <c r="E83" s="645" t="s">
        <v>125</v>
      </c>
      <c r="F83" s="463" t="s">
        <v>142</v>
      </c>
      <c r="G83" s="478" t="s">
        <v>130</v>
      </c>
      <c r="H83" s="479">
        <v>0</v>
      </c>
      <c r="I83" s="465">
        <v>7.41</v>
      </c>
      <c r="J83" s="466">
        <f>IF($H83=1,MROUND($I83*ROUND('CRCP &amp; évolutions'!F$88,4),0.12),ROUND($I83*ROUND('CRCP &amp; évolutions'!F$88,4),2))</f>
        <v>7.41</v>
      </c>
      <c r="K83" s="491">
        <f>IF($H83=1,MROUND($I83*ROUND('CRCP &amp; évolutions'!G$88,4),0.12),ROUND($I83*ROUND('CRCP &amp; évolutions'!G$88,4),2))</f>
        <v>7.9</v>
      </c>
      <c r="L83" s="492">
        <f>IF($H83=1,MROUND($I83*ROUND('CRCP &amp; évolutions'!H$88,4),0.12),ROUND($I83*ROUND('CRCP &amp; évolutions'!H$88,4),2))</f>
        <v>8.1</v>
      </c>
      <c r="M83" s="435"/>
    </row>
    <row r="84" spans="1:19" ht="15.75" customHeight="1" x14ac:dyDescent="0.3">
      <c r="B84" s="696"/>
      <c r="C84" s="645"/>
      <c r="D84" s="645"/>
      <c r="E84" s="645"/>
      <c r="F84" s="493" t="s">
        <v>143</v>
      </c>
      <c r="G84" s="93" t="s">
        <v>127</v>
      </c>
      <c r="H84" s="240">
        <v>0</v>
      </c>
      <c r="I84" s="175">
        <v>0.77</v>
      </c>
      <c r="J84" s="176">
        <f>IF($H84=1,MROUND($I84*ROUND('CRCP &amp; évolutions'!F$88,4),0.12),ROUND($I84*ROUND('CRCP &amp; évolutions'!F$88,4),2))</f>
        <v>0.77</v>
      </c>
      <c r="K84" s="459">
        <f>IF($H84=1,MROUND($I84*ROUND('CRCP &amp; évolutions'!G$88,4),0.12),ROUND($I84*ROUND('CRCP &amp; évolutions'!G$88,4),2))</f>
        <v>0.82</v>
      </c>
      <c r="L84" s="480">
        <f>IF($H84=1,MROUND($I84*ROUND('CRCP &amp; évolutions'!H$88,4),0.12),ROUND($I84*ROUND('CRCP &amp; évolutions'!H$88,4),2))</f>
        <v>0.84</v>
      </c>
      <c r="M84" s="435"/>
    </row>
    <row r="85" spans="1:19" ht="15.75" customHeight="1" x14ac:dyDescent="0.3">
      <c r="B85" s="696"/>
      <c r="C85" s="645"/>
      <c r="D85" s="645"/>
      <c r="E85" s="645"/>
      <c r="F85" s="493" t="s">
        <v>144</v>
      </c>
      <c r="G85" s="93" t="s">
        <v>145</v>
      </c>
      <c r="H85" s="240">
        <v>0</v>
      </c>
      <c r="I85" s="175">
        <v>31.39</v>
      </c>
      <c r="J85" s="176">
        <f>IF($H85=1,MROUND($I85*ROUND('CRCP &amp; évolutions'!F$88,4),0.12),ROUND($I85*ROUND('CRCP &amp; évolutions'!F$88,4),2))</f>
        <v>31.39</v>
      </c>
      <c r="K85" s="459">
        <f>IF($H85=1,MROUND($I85*ROUND('CRCP &amp; évolutions'!G$88,4),0.12),ROUND($I85*ROUND('CRCP &amp; évolutions'!G$88,4),2))</f>
        <v>33.49</v>
      </c>
      <c r="L85" s="480">
        <f>IF($H85=1,MROUND($I85*ROUND('CRCP &amp; évolutions'!H$88,4),0.12),ROUND($I85*ROUND('CRCP &amp; évolutions'!H$88,4),2))</f>
        <v>34.32</v>
      </c>
      <c r="M85" s="435"/>
    </row>
    <row r="86" spans="1:19" ht="15" customHeight="1" x14ac:dyDescent="0.3">
      <c r="B86" s="696"/>
      <c r="C86" s="645"/>
      <c r="D86" s="645"/>
      <c r="E86" s="645" t="s">
        <v>126</v>
      </c>
      <c r="F86" s="493" t="s">
        <v>142</v>
      </c>
      <c r="G86" s="93" t="s">
        <v>130</v>
      </c>
      <c r="H86" s="240">
        <v>0</v>
      </c>
      <c r="I86" s="175">
        <v>5.45</v>
      </c>
      <c r="J86" s="176">
        <f>IF($H86=1,MROUND($I86*ROUND('CRCP &amp; évolutions'!F$88,4),0.12),ROUND($I86*ROUND('CRCP &amp; évolutions'!F$88,4),2))</f>
        <v>5.45</v>
      </c>
      <c r="K86" s="459">
        <f>IF($H86=1,MROUND($I86*ROUND('CRCP &amp; évolutions'!G$88,4),0.12),ROUND($I86*ROUND('CRCP &amp; évolutions'!G$88,4),2))</f>
        <v>5.81</v>
      </c>
      <c r="L86" s="480">
        <f>IF($H86=1,MROUND($I86*ROUND('CRCP &amp; évolutions'!H$88,4),0.12),ROUND($I86*ROUND('CRCP &amp; évolutions'!H$88,4),2))</f>
        <v>5.96</v>
      </c>
      <c r="M86" s="435"/>
    </row>
    <row r="87" spans="1:19" ht="15" customHeight="1" x14ac:dyDescent="0.3">
      <c r="B87" s="696"/>
      <c r="C87" s="645"/>
      <c r="D87" s="645"/>
      <c r="E87" s="645"/>
      <c r="F87" s="493" t="s">
        <v>143</v>
      </c>
      <c r="G87" s="93" t="s">
        <v>127</v>
      </c>
      <c r="H87" s="240">
        <v>0</v>
      </c>
      <c r="I87" s="175">
        <v>1.31</v>
      </c>
      <c r="J87" s="176">
        <f>IF($H87=1,MROUND($I87*ROUND('CRCP &amp; évolutions'!F$88,4),0.12),ROUND($I87*ROUND('CRCP &amp; évolutions'!F$88,4),2))</f>
        <v>1.31</v>
      </c>
      <c r="K87" s="459">
        <f>IF($H87=1,MROUND($I87*ROUND('CRCP &amp; évolutions'!G$88,4),0.12),ROUND($I87*ROUND('CRCP &amp; évolutions'!G$88,4),2))</f>
        <v>1.4</v>
      </c>
      <c r="L87" s="480">
        <f>IF($H87=1,MROUND($I87*ROUND('CRCP &amp; évolutions'!H$88,4),0.12),ROUND($I87*ROUND('CRCP &amp; évolutions'!H$88,4),2))</f>
        <v>1.43</v>
      </c>
      <c r="M87" s="435"/>
    </row>
    <row r="88" spans="1:19" ht="15" customHeight="1" x14ac:dyDescent="0.3">
      <c r="B88" s="696"/>
      <c r="C88" s="645"/>
      <c r="D88" s="645"/>
      <c r="E88" s="645"/>
      <c r="F88" s="493" t="s">
        <v>144</v>
      </c>
      <c r="G88" s="93" t="s">
        <v>145</v>
      </c>
      <c r="H88" s="240">
        <v>0</v>
      </c>
      <c r="I88" s="175">
        <v>23.25</v>
      </c>
      <c r="J88" s="176">
        <f>IF($H88=1,MROUND($I88*ROUND('CRCP &amp; évolutions'!F$88,4),0.12),ROUND($I88*ROUND('CRCP &amp; évolutions'!F$88,4),2))</f>
        <v>23.25</v>
      </c>
      <c r="K88" s="459">
        <f>IF($H88=1,MROUND($I88*ROUND('CRCP &amp; évolutions'!G$88,4),0.12),ROUND($I88*ROUND('CRCP &amp; évolutions'!G$88,4),2))</f>
        <v>24.8</v>
      </c>
      <c r="L88" s="480">
        <f>IF($H88=1,MROUND($I88*ROUND('CRCP &amp; évolutions'!H$88,4),0.12),ROUND($I88*ROUND('CRCP &amp; évolutions'!H$88,4),2))</f>
        <v>25.42</v>
      </c>
      <c r="M88" s="435"/>
    </row>
    <row r="89" spans="1:19" x14ac:dyDescent="0.3">
      <c r="B89" s="696"/>
      <c r="C89" s="645" t="s">
        <v>125</v>
      </c>
      <c r="D89" s="645"/>
      <c r="E89" s="645" t="s">
        <v>126</v>
      </c>
      <c r="F89" s="493" t="s">
        <v>142</v>
      </c>
      <c r="G89" s="93" t="s">
        <v>130</v>
      </c>
      <c r="H89" s="240">
        <v>0</v>
      </c>
      <c r="I89" s="175">
        <v>1.59</v>
      </c>
      <c r="J89" s="176">
        <f>IF($H89=1,MROUND($I89*ROUND('CRCP &amp; évolutions'!F$88,4),0.12),ROUND($I89*ROUND('CRCP &amp; évolutions'!F$88,4),2))</f>
        <v>1.59</v>
      </c>
      <c r="K89" s="459">
        <f>IF($H89=1,MROUND($I89*ROUND('CRCP &amp; évolutions'!G$88,4),0.12),ROUND($I89*ROUND('CRCP &amp; évolutions'!G$88,4),2))</f>
        <v>1.7</v>
      </c>
      <c r="L89" s="480">
        <f>IF($H89=1,MROUND($I89*ROUND('CRCP &amp; évolutions'!H$88,4),0.12),ROUND($I89*ROUND('CRCP &amp; évolutions'!H$88,4),2))</f>
        <v>1.74</v>
      </c>
      <c r="M89" s="435"/>
    </row>
    <row r="90" spans="1:19" ht="16.5" customHeight="1" x14ac:dyDescent="0.3">
      <c r="B90" s="696"/>
      <c r="C90" s="645"/>
      <c r="D90" s="645"/>
      <c r="E90" s="645"/>
      <c r="F90" s="493" t="s">
        <v>143</v>
      </c>
      <c r="G90" s="93" t="s">
        <v>127</v>
      </c>
      <c r="H90" s="240">
        <v>0</v>
      </c>
      <c r="I90" s="175">
        <v>1.31</v>
      </c>
      <c r="J90" s="176">
        <f>IF($H90=1,MROUND($I90*ROUND('CRCP &amp; évolutions'!F$88,4),0.12),ROUND($I90*ROUND('CRCP &amp; évolutions'!F$88,4),2))</f>
        <v>1.31</v>
      </c>
      <c r="K90" s="459">
        <f>IF($H90=1,MROUND($I90*ROUND('CRCP &amp; évolutions'!G$88,4),0.12),ROUND($I90*ROUND('CRCP &amp; évolutions'!G$88,4),2))</f>
        <v>1.4</v>
      </c>
      <c r="L90" s="480">
        <f>IF($H90=1,MROUND($I90*ROUND('CRCP &amp; évolutions'!H$88,4),0.12),ROUND($I90*ROUND('CRCP &amp; évolutions'!H$88,4),2))</f>
        <v>1.43</v>
      </c>
      <c r="M90" s="435"/>
    </row>
    <row r="91" spans="1:19" ht="15.75" customHeight="1" thickBot="1" x14ac:dyDescent="0.35">
      <c r="B91" s="697"/>
      <c r="C91" s="645"/>
      <c r="D91" s="645"/>
      <c r="E91" s="645"/>
      <c r="F91" s="467" t="s">
        <v>144</v>
      </c>
      <c r="G91" s="468" t="s">
        <v>145</v>
      </c>
      <c r="H91" s="469">
        <v>0</v>
      </c>
      <c r="I91" s="470">
        <v>6.98</v>
      </c>
      <c r="J91" s="477">
        <f>IF($H91=1,MROUND($I91*ROUND('CRCP &amp; évolutions'!F$88,4),0.12),ROUND($I91*ROUND('CRCP &amp; évolutions'!F$88,4),2))</f>
        <v>6.98</v>
      </c>
      <c r="K91" s="477">
        <f>IF($H91=1,MROUND($I91*ROUND('CRCP &amp; évolutions'!G$88,4),0.12),ROUND($I91*ROUND('CRCP &amp; évolutions'!G$88,4),2))</f>
        <v>7.45</v>
      </c>
      <c r="L91" s="483">
        <f>IF($H91=1,MROUND($I91*ROUND('CRCP &amp; évolutions'!H$88,4),0.12),ROUND($I91*ROUND('CRCP &amp; évolutions'!H$88,4),2))</f>
        <v>7.63</v>
      </c>
      <c r="M91" s="435"/>
    </row>
    <row r="92" spans="1:19" x14ac:dyDescent="0.3">
      <c r="A92" s="214"/>
      <c r="B92" s="652" t="s">
        <v>226</v>
      </c>
      <c r="C92" s="700" t="s">
        <v>123</v>
      </c>
      <c r="D92" s="701"/>
      <c r="E92" s="702"/>
      <c r="F92" s="464" t="s">
        <v>146</v>
      </c>
      <c r="G92" s="489" t="s">
        <v>147</v>
      </c>
      <c r="H92" s="490">
        <v>0</v>
      </c>
      <c r="I92" s="465">
        <v>5.81</v>
      </c>
      <c r="J92" s="491">
        <f>IF($H92=1,MROUND($I92*ROUND('CRCP &amp; évolutions'!F$88,4),0.12),ROUND($I92*ROUND('CRCP &amp; évolutions'!F$88,4),2))</f>
        <v>5.81</v>
      </c>
      <c r="K92" s="491">
        <f>IF($H92=1,MROUND($I92*ROUND('CRCP &amp; évolutions'!G$88,4),0.12),ROUND($I92*ROUND('CRCP &amp; évolutions'!G$88,4),2))</f>
        <v>6.2</v>
      </c>
      <c r="L92" s="492">
        <f>IF($H92=1,MROUND($I92*ROUND('CRCP &amp; évolutions'!H$88,4),0.12),ROUND($I92*ROUND('CRCP &amp; évolutions'!H$88,4),2))</f>
        <v>6.35</v>
      </c>
      <c r="M92" s="435"/>
    </row>
    <row r="93" spans="1:19" ht="31.5" customHeight="1" x14ac:dyDescent="0.3">
      <c r="A93" s="214"/>
      <c r="B93" s="698"/>
      <c r="C93" s="703" t="s">
        <v>125</v>
      </c>
      <c r="D93" s="648"/>
      <c r="E93" s="704"/>
      <c r="F93" s="85" t="s">
        <v>148</v>
      </c>
      <c r="G93" s="93" t="s">
        <v>147</v>
      </c>
      <c r="H93" s="240">
        <v>0</v>
      </c>
      <c r="I93" s="175">
        <v>15.12</v>
      </c>
      <c r="J93" s="176">
        <f>IF($H93=1,MROUND($I93*ROUND('CRCP &amp; évolutions'!F$88,4),0.12),ROUND($I93*ROUND('CRCP &amp; évolutions'!F$88,4),2))</f>
        <v>15.12</v>
      </c>
      <c r="K93" s="459">
        <f>IF($H93=1,MROUND($I93*ROUND('CRCP &amp; évolutions'!G$88,4),0.12),ROUND($I93*ROUND('CRCP &amp; évolutions'!G$88,4),2))</f>
        <v>16.13</v>
      </c>
      <c r="L93" s="480">
        <f>IF($H93=1,MROUND($I93*ROUND('CRCP &amp; évolutions'!H$88,4),0.12),ROUND($I93*ROUND('CRCP &amp; évolutions'!H$88,4),2))</f>
        <v>16.53</v>
      </c>
      <c r="M93" s="435"/>
    </row>
    <row r="94" spans="1:19" ht="31.5" x14ac:dyDescent="0.3">
      <c r="A94" s="214"/>
      <c r="B94" s="698"/>
      <c r="C94" s="703"/>
      <c r="D94" s="648"/>
      <c r="E94" s="704"/>
      <c r="F94" s="85" t="s">
        <v>149</v>
      </c>
      <c r="G94" s="93" t="s">
        <v>147</v>
      </c>
      <c r="H94" s="240">
        <v>0</v>
      </c>
      <c r="I94" s="175">
        <v>58.12</v>
      </c>
      <c r="J94" s="176">
        <f>IF($H94=1,MROUND($I94*ROUND('CRCP &amp; évolutions'!F$88,4),0.12),ROUND($I94*ROUND('CRCP &amp; évolutions'!F$88,4),2))</f>
        <v>58.11</v>
      </c>
      <c r="K94" s="459">
        <f>IF($H94=1,MROUND($I94*ROUND('CRCP &amp; évolutions'!G$88,4),0.12),ROUND($I94*ROUND('CRCP &amp; évolutions'!G$88,4),2))</f>
        <v>62</v>
      </c>
      <c r="L94" s="480">
        <f>IF($H94=1,MROUND($I94*ROUND('CRCP &amp; évolutions'!H$88,4),0.12),ROUND($I94*ROUND('CRCP &amp; évolutions'!H$88,4),2))</f>
        <v>63.55</v>
      </c>
      <c r="M94" s="435"/>
    </row>
    <row r="95" spans="1:19" ht="31.5" x14ac:dyDescent="0.3">
      <c r="A95" s="214"/>
      <c r="B95" s="698"/>
      <c r="C95" s="703" t="s">
        <v>126</v>
      </c>
      <c r="D95" s="648"/>
      <c r="E95" s="704"/>
      <c r="F95" s="85" t="s">
        <v>148</v>
      </c>
      <c r="G95" s="93" t="s">
        <v>147</v>
      </c>
      <c r="H95" s="240">
        <v>0</v>
      </c>
      <c r="I95" s="175">
        <v>76.73</v>
      </c>
      <c r="J95" s="176">
        <f>IF($H95=1,MROUND($I95*ROUND('CRCP &amp; évolutions'!F$88,4),0.12),ROUND($I95*ROUND('CRCP &amp; évolutions'!F$88,4),2))</f>
        <v>76.72</v>
      </c>
      <c r="K95" s="459">
        <f>IF($H95=1,MROUND($I95*ROUND('CRCP &amp; évolutions'!G$88,4),0.12),ROUND($I95*ROUND('CRCP &amp; évolutions'!G$88,4),2))</f>
        <v>81.86</v>
      </c>
      <c r="L95" s="480">
        <f>IF($H95=1,MROUND($I95*ROUND('CRCP &amp; évolutions'!H$88,4),0.12),ROUND($I95*ROUND('CRCP &amp; évolutions'!H$88,4),2))</f>
        <v>83.9</v>
      </c>
      <c r="M95" s="435"/>
    </row>
    <row r="96" spans="1:19" ht="32.25" thickBot="1" x14ac:dyDescent="0.35">
      <c r="A96" s="214"/>
      <c r="B96" s="699"/>
      <c r="C96" s="705"/>
      <c r="D96" s="683"/>
      <c r="E96" s="706"/>
      <c r="F96" s="85" t="s">
        <v>149</v>
      </c>
      <c r="G96" s="93" t="s">
        <v>147</v>
      </c>
      <c r="H96" s="240">
        <v>0</v>
      </c>
      <c r="I96" s="175">
        <v>134.86000000000001</v>
      </c>
      <c r="J96" s="176">
        <f>IF($H96=1,MROUND($I96*ROUND('CRCP &amp; évolutions'!F$88,4),0.12),ROUND($I96*ROUND('CRCP &amp; évolutions'!F$88,4),2))</f>
        <v>134.85</v>
      </c>
      <c r="K96" s="459">
        <f>IF($H96=1,MROUND($I96*ROUND('CRCP &amp; évolutions'!G$88,4),0.12),ROUND($I96*ROUND('CRCP &amp; évolutions'!G$88,4),2))</f>
        <v>143.87</v>
      </c>
      <c r="L96" s="480">
        <f>IF($H96=1,MROUND($I96*ROUND('CRCP &amp; évolutions'!H$88,4),0.12),ROUND($I96*ROUND('CRCP &amp; évolutions'!H$88,4),2))</f>
        <v>147.46</v>
      </c>
      <c r="M96" s="435"/>
      <c r="Q96" s="85"/>
      <c r="S96" s="198"/>
    </row>
    <row r="97" spans="1:20" ht="31.5" customHeight="1" x14ac:dyDescent="0.3">
      <c r="A97" s="214"/>
      <c r="B97" s="646" t="s">
        <v>227</v>
      </c>
      <c r="C97" s="648" t="s">
        <v>125</v>
      </c>
      <c r="D97" s="648"/>
      <c r="E97" s="93" t="s">
        <v>123</v>
      </c>
      <c r="F97" s="495" t="s">
        <v>146</v>
      </c>
      <c r="G97" s="478" t="s">
        <v>130</v>
      </c>
      <c r="H97" s="479">
        <v>0</v>
      </c>
      <c r="I97" s="465">
        <v>1.82</v>
      </c>
      <c r="J97" s="466">
        <f>IF($H97=1,MROUND($I97*ROUND('CRCP &amp; évolutions'!F$88,4),0.12),ROUND($I97*ROUND('CRCP &amp; évolutions'!F$88,4),2))</f>
        <v>1.82</v>
      </c>
      <c r="K97" s="491">
        <f>IF($H97=1,MROUND($I97*ROUND('CRCP &amp; évolutions'!G$88,4),0.12),ROUND($I97*ROUND('CRCP &amp; évolutions'!G$88,4),2))</f>
        <v>1.94</v>
      </c>
      <c r="L97" s="492">
        <f>IF($H97=1,MROUND($I97*ROUND('CRCP &amp; évolutions'!H$88,4),0.12),ROUND($I97*ROUND('CRCP &amp; évolutions'!H$88,4),2))</f>
        <v>1.99</v>
      </c>
      <c r="M97" s="435"/>
    </row>
    <row r="98" spans="1:20" ht="31.5" customHeight="1" x14ac:dyDescent="0.3">
      <c r="A98" s="214"/>
      <c r="B98" s="693"/>
      <c r="C98" s="648" t="s">
        <v>150</v>
      </c>
      <c r="D98" s="648"/>
      <c r="E98" s="93" t="s">
        <v>125</v>
      </c>
      <c r="F98" s="496" t="s">
        <v>146</v>
      </c>
      <c r="G98" s="93" t="s">
        <v>130</v>
      </c>
      <c r="H98" s="240">
        <v>0</v>
      </c>
      <c r="I98" s="175">
        <v>3.91</v>
      </c>
      <c r="J98" s="176">
        <f>IF($H98=1,MROUND($I98*ROUND('CRCP &amp; évolutions'!F$88,4),0.12),ROUND($I98*ROUND('CRCP &amp; évolutions'!F$88,4),2))</f>
        <v>3.91</v>
      </c>
      <c r="K98" s="459">
        <f>IF($H98=1,MROUND($I98*ROUND('CRCP &amp; évolutions'!G$88,4),0.12),ROUND($I98*ROUND('CRCP &amp; évolutions'!G$88,4),2))</f>
        <v>4.17</v>
      </c>
      <c r="L98" s="480">
        <f>IF($H98=1,MROUND($I98*ROUND('CRCP &amp; évolutions'!H$88,4),0.12),ROUND($I98*ROUND('CRCP &amp; évolutions'!H$88,4),2))</f>
        <v>4.28</v>
      </c>
      <c r="M98" s="435"/>
    </row>
    <row r="99" spans="1:20" ht="31.5" customHeight="1" thickBot="1" x14ac:dyDescent="0.35">
      <c r="A99" s="214"/>
      <c r="B99" s="694"/>
      <c r="C99" s="649" t="s">
        <v>151</v>
      </c>
      <c r="D99" s="649"/>
      <c r="E99" s="444" t="s">
        <v>126</v>
      </c>
      <c r="F99" s="497" t="s">
        <v>146</v>
      </c>
      <c r="G99" s="481" t="s">
        <v>130</v>
      </c>
      <c r="H99" s="482">
        <v>0</v>
      </c>
      <c r="I99" s="470">
        <v>6.91</v>
      </c>
      <c r="J99" s="471">
        <f>IF($H99=1,MROUND($I99*ROUND('CRCP &amp; évolutions'!F$88,4),0.12),ROUND($I99*ROUND('CRCP &amp; évolutions'!F$88,4),2))</f>
        <v>6.91</v>
      </c>
      <c r="K99" s="477">
        <f>IF($H99=1,MROUND($I99*ROUND('CRCP &amp; évolutions'!G$88,4),0.12),ROUND($I99*ROUND('CRCP &amp; évolutions'!G$88,4),2))</f>
        <v>7.37</v>
      </c>
      <c r="L99" s="483">
        <f>IF($H99=1,MROUND($I99*ROUND('CRCP &amp; évolutions'!H$88,4),0.12),ROUND($I99*ROUND('CRCP &amp; évolutions'!H$88,4),2))</f>
        <v>7.56</v>
      </c>
      <c r="M99" s="435"/>
    </row>
    <row r="100" spans="1:20" s="197" customFormat="1" ht="47.25" customHeight="1" x14ac:dyDescent="0.3">
      <c r="A100" s="215"/>
      <c r="B100" s="646" t="s">
        <v>228</v>
      </c>
      <c r="C100" s="648" t="s">
        <v>125</v>
      </c>
      <c r="D100" s="648"/>
      <c r="E100" s="650"/>
      <c r="F100" s="221" t="s">
        <v>144</v>
      </c>
      <c r="G100" s="93" t="s">
        <v>152</v>
      </c>
      <c r="H100" s="240">
        <v>0</v>
      </c>
      <c r="I100" s="308">
        <v>1.43E-2</v>
      </c>
      <c r="J100" s="440">
        <f>IF($H100=1,MROUND($I100*ROUND('CRCP &amp; évolutions'!F$88,4),0.12),ROUND($I100*ROUND('CRCP &amp; évolutions'!F$88,4),4))</f>
        <v>1.43E-2</v>
      </c>
      <c r="K100" s="494">
        <f>J100</f>
        <v>1.43E-2</v>
      </c>
      <c r="L100" s="441">
        <f>IF($H100=1,MROUND($I100*ROUND('CRCP &amp; évolutions'!H$88,4),0.12),ROUND($I100*ROUND('CRCP &amp; évolutions'!H$88,4),4))</f>
        <v>1.5599999999999999E-2</v>
      </c>
      <c r="M100" s="435"/>
    </row>
    <row r="101" spans="1:20" s="197" customFormat="1" ht="47.25" customHeight="1" thickBot="1" x14ac:dyDescent="0.35">
      <c r="A101" s="215"/>
      <c r="B101" s="647"/>
      <c r="C101" s="648" t="s">
        <v>126</v>
      </c>
      <c r="D101" s="648"/>
      <c r="E101" s="650"/>
      <c r="F101" s="85" t="s">
        <v>144</v>
      </c>
      <c r="G101" s="93" t="s">
        <v>152</v>
      </c>
      <c r="H101" s="240">
        <v>0</v>
      </c>
      <c r="I101" s="308">
        <v>8.9999999999999993E-3</v>
      </c>
      <c r="J101" s="440">
        <f>IF($H101=1,MROUND($I101*ROUND('CRCP &amp; évolutions'!F$88,4),0.12),ROUND($I101*ROUND('CRCP &amp; évolutions'!F$88,4),4))</f>
        <v>8.9999999999999993E-3</v>
      </c>
      <c r="K101" s="395">
        <f>J101</f>
        <v>8.9999999999999993E-3</v>
      </c>
      <c r="L101" s="441">
        <f>IF($H101=1,MROUND($I101*ROUND('CRCP &amp; évolutions'!H$88,4),0.12),ROUND($I101*ROUND('CRCP &amp; évolutions'!H$88,4),4))</f>
        <v>9.7999999999999997E-3</v>
      </c>
      <c r="M101" s="435"/>
    </row>
    <row r="102" spans="1:20" ht="27.75" customHeight="1" x14ac:dyDescent="0.3">
      <c r="A102" s="214"/>
      <c r="B102" s="651" t="s">
        <v>261</v>
      </c>
      <c r="C102" s="653" t="s">
        <v>262</v>
      </c>
      <c r="D102" s="654"/>
      <c r="E102" s="654"/>
      <c r="F102" s="654"/>
      <c r="G102" s="484" t="s">
        <v>154</v>
      </c>
      <c r="H102" s="485">
        <v>0</v>
      </c>
      <c r="I102" s="486">
        <v>10.3</v>
      </c>
      <c r="J102" s="223">
        <f>IF($H102=1,MROUND($I102*ROUND('CRCP &amp; évolutions'!F$88,4),0.12),ROUND($I102*ROUND('CRCP &amp; évolutions'!F$88,4),2))</f>
        <v>10.3</v>
      </c>
      <c r="K102" s="461">
        <f>IF($H102=1,MROUND($I102*ROUND('CRCP &amp; évolutions'!G$88,4),0.12),ROUND($I102*ROUND('CRCP &amp; évolutions'!G$88,4),2))</f>
        <v>10.99</v>
      </c>
      <c r="L102" s="462">
        <f>IF($H102=1,MROUND($I102*ROUND('CRCP &amp; évolutions'!H$88,4),0.12),ROUND($I102*ROUND('CRCP &amp; évolutions'!H$88,4),2))</f>
        <v>11.26</v>
      </c>
      <c r="M102" s="435"/>
    </row>
    <row r="103" spans="1:20" ht="27.75" customHeight="1" thickBot="1" x14ac:dyDescent="0.35">
      <c r="A103" s="214"/>
      <c r="B103" s="652"/>
      <c r="C103" s="644" t="s">
        <v>263</v>
      </c>
      <c r="D103" s="645"/>
      <c r="E103" s="645"/>
      <c r="F103" s="645"/>
      <c r="G103" s="93" t="s">
        <v>154</v>
      </c>
      <c r="H103" s="487">
        <v>0</v>
      </c>
      <c r="I103" s="488">
        <v>0.9</v>
      </c>
      <c r="J103" s="176">
        <f>IF($H103=1,MROUND($I103*ROUND('CRCP &amp; évolutions'!F$88,4),0.12),ROUND($I103*ROUND('CRCP &amp; évolutions'!F$88,4),2))</f>
        <v>0.9</v>
      </c>
      <c r="K103" s="459">
        <f>IF($H103=1,MROUND($I103*ROUND('CRCP &amp; évolutions'!G$88,4),0.12),ROUND($I103*ROUND('CRCP &amp; évolutions'!G$88,4),2))</f>
        <v>0.96</v>
      </c>
      <c r="L103" s="394">
        <f>IF($H103=1,MROUND($I103*ROUND('CRCP &amp; évolutions'!H$88,4),0.12),ROUND($I103*ROUND('CRCP &amp; évolutions'!H$88,4),2))</f>
        <v>0.98</v>
      </c>
      <c r="M103" s="435"/>
    </row>
    <row r="104" spans="1:20" ht="25.5" customHeight="1" x14ac:dyDescent="0.3">
      <c r="A104" s="214"/>
      <c r="B104" s="646" t="s">
        <v>229</v>
      </c>
      <c r="C104" s="648" t="s">
        <v>153</v>
      </c>
      <c r="D104" s="648"/>
      <c r="E104" s="648"/>
      <c r="F104" s="648"/>
      <c r="G104" s="93" t="s">
        <v>154</v>
      </c>
      <c r="H104" s="240">
        <v>0</v>
      </c>
      <c r="I104" s="175">
        <v>3.05</v>
      </c>
      <c r="J104" s="176">
        <f>IF($H104=1,MROUND($I104*ROUND('CRCP &amp; évolutions'!F$88,4),0.12),ROUND($I104*ROUND('CRCP &amp; évolutions'!F$88,4),2))</f>
        <v>3.05</v>
      </c>
      <c r="K104" s="393">
        <f>IF($H104=1,MROUND($I104*ROUND('CRCP &amp; évolutions'!G$88,4),0.12),ROUND($I104*ROUND('CRCP &amp; évolutions'!G$88,4),2))</f>
        <v>3.25</v>
      </c>
      <c r="L104" s="394">
        <f>IF($H104=1,MROUND($I104*ROUND('CRCP &amp; évolutions'!H$88,4),0.12),ROUND($I104*ROUND('CRCP &amp; évolutions'!H$88,4),2))</f>
        <v>3.33</v>
      </c>
      <c r="M104" s="435"/>
    </row>
    <row r="105" spans="1:20" ht="34.5" customHeight="1" thickBot="1" x14ac:dyDescent="0.35">
      <c r="A105" s="214"/>
      <c r="B105" s="647"/>
      <c r="C105" s="649" t="s">
        <v>155</v>
      </c>
      <c r="D105" s="649"/>
      <c r="E105" s="649"/>
      <c r="F105" s="649"/>
      <c r="G105" s="93" t="s">
        <v>154</v>
      </c>
      <c r="H105" s="240">
        <v>0</v>
      </c>
      <c r="I105" s="175">
        <v>0.53</v>
      </c>
      <c r="J105" s="176">
        <f>IF($H105=1,MROUND($I105*ROUND('CRCP &amp; évolutions'!F$88,4),0.12),ROUND($I105*ROUND('CRCP &amp; évolutions'!F$88,4),2))</f>
        <v>0.53</v>
      </c>
      <c r="K105" s="393">
        <f>IF($H105=1,MROUND($I105*ROUND('CRCP &amp; évolutions'!G$88,4),0.12),ROUND($I105*ROUND('CRCP &amp; évolutions'!G$88,4),2))</f>
        <v>0.56999999999999995</v>
      </c>
      <c r="L105" s="394">
        <f>IF($H105=1,MROUND($I105*ROUND('CRCP &amp; évolutions'!H$88,4),0.12),ROUND($I105*ROUND('CRCP &amp; évolutions'!H$88,4),2))</f>
        <v>0.57999999999999996</v>
      </c>
      <c r="M105" s="435"/>
    </row>
    <row r="106" spans="1:20" x14ac:dyDescent="0.3">
      <c r="F106" s="70"/>
      <c r="G106" s="329"/>
      <c r="H106" s="329"/>
      <c r="I106" s="329"/>
      <c r="J106" s="329"/>
      <c r="K106" s="329"/>
      <c r="L106" s="304"/>
    </row>
    <row r="107" spans="1:20" x14ac:dyDescent="0.3">
      <c r="F107" s="70"/>
      <c r="I107" s="70"/>
      <c r="J107" s="70"/>
      <c r="K107" s="70"/>
      <c r="L107" s="70"/>
    </row>
    <row r="108" spans="1:20" ht="31.5" customHeight="1" x14ac:dyDescent="0.3">
      <c r="F108" s="70"/>
      <c r="I108" s="70"/>
      <c r="J108" s="70"/>
      <c r="K108" s="70"/>
      <c r="L108" s="70"/>
    </row>
    <row r="109" spans="1:20" ht="31.5" customHeight="1" x14ac:dyDescent="0.3">
      <c r="F109" s="70"/>
      <c r="I109" s="196"/>
      <c r="J109" s="70"/>
      <c r="K109" s="70"/>
      <c r="L109" s="70"/>
    </row>
    <row r="110" spans="1:20" ht="31.5" customHeight="1" x14ac:dyDescent="0.3">
      <c r="F110" s="70"/>
      <c r="I110" s="173"/>
      <c r="J110" s="70"/>
      <c r="K110" s="70"/>
      <c r="L110" s="70"/>
    </row>
    <row r="111" spans="1:20" ht="31.5" customHeight="1" x14ac:dyDescent="0.3">
      <c r="T111" s="173"/>
    </row>
    <row r="112" spans="1:20" ht="31.5" customHeight="1" x14ac:dyDescent="0.3">
      <c r="T112" s="173"/>
    </row>
  </sheetData>
  <mergeCells count="54">
    <mergeCell ref="N10:Q10"/>
    <mergeCell ref="B6:E6"/>
    <mergeCell ref="D7:E7"/>
    <mergeCell ref="D8:E8"/>
    <mergeCell ref="B97:B99"/>
    <mergeCell ref="C97:D97"/>
    <mergeCell ref="C98:D98"/>
    <mergeCell ref="C99:D99"/>
    <mergeCell ref="B83:B91"/>
    <mergeCell ref="B92:B96"/>
    <mergeCell ref="C92:E92"/>
    <mergeCell ref="C93:E94"/>
    <mergeCell ref="C95:E96"/>
    <mergeCell ref="B23:B32"/>
    <mergeCell ref="C23:E27"/>
    <mergeCell ref="C28:E32"/>
    <mergeCell ref="I4:L4"/>
    <mergeCell ref="B73:B80"/>
    <mergeCell ref="B63:B72"/>
    <mergeCell ref="B43:B52"/>
    <mergeCell ref="B53:B62"/>
    <mergeCell ref="B7:B8"/>
    <mergeCell ref="B13:B22"/>
    <mergeCell ref="C43:E47"/>
    <mergeCell ref="C48:E52"/>
    <mergeCell ref="C53:E57"/>
    <mergeCell ref="C58:E62"/>
    <mergeCell ref="C63:E67"/>
    <mergeCell ref="B9:E11"/>
    <mergeCell ref="B12:E12"/>
    <mergeCell ref="C13:E17"/>
    <mergeCell ref="C18:E22"/>
    <mergeCell ref="C75:E77"/>
    <mergeCell ref="C78:E80"/>
    <mergeCell ref="B81:E82"/>
    <mergeCell ref="B33:B42"/>
    <mergeCell ref="C33:E37"/>
    <mergeCell ref="C38:E42"/>
    <mergeCell ref="C68:E72"/>
    <mergeCell ref="C73:E74"/>
    <mergeCell ref="C83:D88"/>
    <mergeCell ref="C89:D91"/>
    <mergeCell ref="E83:E85"/>
    <mergeCell ref="E86:E88"/>
    <mergeCell ref="E89:E91"/>
    <mergeCell ref="C103:F103"/>
    <mergeCell ref="B104:B105"/>
    <mergeCell ref="C104:F104"/>
    <mergeCell ref="C105:F105"/>
    <mergeCell ref="B100:B101"/>
    <mergeCell ref="C100:E100"/>
    <mergeCell ref="C101:E101"/>
    <mergeCell ref="B102:B103"/>
    <mergeCell ref="C102:F10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C0FBC8AD-B358-4C46-AA16-B739B93A576F}">
            <xm:f>'CRCP &amp; évolutions'!$E$2=2017</xm:f>
            <x14:dxf>
              <fill>
                <patternFill patternType="lightUp">
                  <fgColor theme="0" tint="-0.34998626667073579"/>
                </patternFill>
              </fill>
            </x14:dxf>
          </x14:cfRule>
          <xm:sqref>J6:L110</xm:sqref>
        </x14:conditionalFormatting>
        <x14:conditionalFormatting xmlns:xm="http://schemas.microsoft.com/office/excel/2006/main">
          <x14:cfRule type="expression" priority="2" id="{97F2C97A-104E-49A3-A3DB-EAAE68AC9567}">
            <xm:f>'CRCP &amp; évolutions'!$E$2=2018</xm:f>
            <x14:dxf>
              <fill>
                <patternFill patternType="lightUp">
                  <fgColor theme="0" tint="-0.34998626667073579"/>
                </patternFill>
              </fill>
            </x14:dxf>
          </x14:cfRule>
          <xm:sqref>K6:L110</xm:sqref>
        </x14:conditionalFormatting>
        <x14:conditionalFormatting xmlns:xm="http://schemas.microsoft.com/office/excel/2006/main">
          <x14:cfRule type="expression" priority="1" id="{55FF57B5-5A41-4398-ACAA-5DCCFC4FAE75}">
            <xm:f>'CRCP &amp; évolutions'!$E$2=2019</xm:f>
            <x14:dxf>
              <fill>
                <patternFill patternType="lightUp">
                  <fgColor theme="0" tint="-0.34998626667073579"/>
                </patternFill>
              </fill>
            </x14:dxf>
          </x14:cfRule>
          <xm:sqref>L6:L110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E35"/>
  <sheetViews>
    <sheetView zoomScaleNormal="100" workbookViewId="0">
      <pane xSplit="1" ySplit="2" topLeftCell="B3" activePane="bottomRight" state="frozen"/>
      <selection pane="topRight" activeCell="B1" sqref="B1"/>
      <selection pane="bottomLeft" activeCell="A3" sqref="A3"/>
      <selection pane="bottomRight" activeCell="D11" sqref="D11"/>
    </sheetView>
  </sheetViews>
  <sheetFormatPr baseColWidth="10" defaultColWidth="9.140625" defaultRowHeight="15" x14ac:dyDescent="0.25"/>
  <cols>
    <col min="1" max="1" width="17.7109375" customWidth="1"/>
    <col min="2" max="2" width="4.28515625" customWidth="1"/>
    <col min="3" max="3" width="27" customWidth="1"/>
    <col min="4" max="4" width="23.7109375" customWidth="1"/>
    <col min="5" max="5" width="8.28515625" customWidth="1"/>
    <col min="6" max="6" width="7.85546875" customWidth="1"/>
  </cols>
  <sheetData>
    <row r="1" spans="1:5" x14ac:dyDescent="0.25">
      <c r="C1" s="1" t="s">
        <v>0</v>
      </c>
    </row>
    <row r="2" spans="1:5" ht="24" x14ac:dyDescent="0.25">
      <c r="C2" s="3" t="s">
        <v>156</v>
      </c>
    </row>
    <row r="4" spans="1:5" ht="39" customHeight="1" x14ac:dyDescent="0.25">
      <c r="C4" s="707" t="s">
        <v>230</v>
      </c>
      <c r="D4" s="708"/>
    </row>
    <row r="5" spans="1:5" ht="15.75" thickBot="1" x14ac:dyDescent="0.3"/>
    <row r="6" spans="1:5" ht="27.75" thickBot="1" x14ac:dyDescent="0.3">
      <c r="B6" s="5"/>
      <c r="C6" s="63" t="s">
        <v>157</v>
      </c>
      <c r="D6" s="207" t="s">
        <v>158</v>
      </c>
    </row>
    <row r="7" spans="1:5" ht="27.75" thickBot="1" x14ac:dyDescent="0.3">
      <c r="A7" s="194" t="s">
        <v>211</v>
      </c>
      <c r="C7" s="274" t="s">
        <v>117</v>
      </c>
      <c r="D7" s="227">
        <f>'Grille tarifaire'!I6</f>
        <v>9404.0400000000009</v>
      </c>
      <c r="E7" s="226"/>
    </row>
    <row r="8" spans="1:5" ht="15.75" thickBot="1" x14ac:dyDescent="0.3">
      <c r="C8" s="228"/>
      <c r="D8" s="228"/>
    </row>
    <row r="9" spans="1:5" ht="27.75" thickBot="1" x14ac:dyDescent="0.3">
      <c r="A9" s="194" t="s">
        <v>209</v>
      </c>
      <c r="C9" s="275" t="s">
        <v>117</v>
      </c>
      <c r="D9" s="62">
        <f>'Grille tarifaire'!J6</f>
        <v>9403.08</v>
      </c>
    </row>
    <row r="10" spans="1:5" ht="15.75" thickBot="1" x14ac:dyDescent="0.3">
      <c r="C10" s="228"/>
      <c r="D10" s="228"/>
    </row>
    <row r="11" spans="1:5" ht="27.75" thickBot="1" x14ac:dyDescent="0.3">
      <c r="A11" s="194" t="s">
        <v>210</v>
      </c>
      <c r="C11" s="275" t="s">
        <v>117</v>
      </c>
      <c r="D11" s="62">
        <f>'Grille tarifaire'!K6</f>
        <v>10032.24</v>
      </c>
    </row>
    <row r="12" spans="1:5" ht="15.75" thickBot="1" x14ac:dyDescent="0.3">
      <c r="C12" s="228"/>
      <c r="D12" s="228"/>
    </row>
    <row r="13" spans="1:5" ht="27.75" thickBot="1" x14ac:dyDescent="0.3">
      <c r="A13" s="194" t="s">
        <v>212</v>
      </c>
      <c r="C13" s="275" t="s">
        <v>117</v>
      </c>
      <c r="D13" s="62">
        <f>'Grille tarifaire'!L6</f>
        <v>10282.32</v>
      </c>
      <c r="E13" s="226"/>
    </row>
    <row r="24" ht="31.5" customHeight="1" x14ac:dyDescent="0.25"/>
    <row r="35" ht="28.5" customHeight="1" x14ac:dyDescent="0.25"/>
  </sheetData>
  <mergeCells count="1">
    <mergeCell ref="C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G51"/>
  <sheetViews>
    <sheetView workbookViewId="0">
      <pane xSplit="1" ySplit="2" topLeftCell="B3" activePane="bottomRight" state="frozen"/>
      <selection pane="topRight" activeCell="B1" sqref="B1"/>
      <selection pane="bottomLeft" activeCell="A3" sqref="A3"/>
      <selection pane="bottomRight" activeCell="F14" sqref="F14"/>
    </sheetView>
  </sheetViews>
  <sheetFormatPr baseColWidth="10" defaultColWidth="9.140625" defaultRowHeight="15" x14ac:dyDescent="0.25"/>
  <cols>
    <col min="1" max="1" width="17.7109375" customWidth="1"/>
    <col min="2" max="2" width="3.85546875" customWidth="1"/>
    <col min="3" max="3" width="26.7109375" customWidth="1"/>
    <col min="4" max="5" width="28.7109375" customWidth="1"/>
    <col min="6" max="6" width="21.7109375" customWidth="1"/>
  </cols>
  <sheetData>
    <row r="1" spans="1:7" x14ac:dyDescent="0.25">
      <c r="C1" s="1" t="s">
        <v>0</v>
      </c>
    </row>
    <row r="2" spans="1:7" ht="24" x14ac:dyDescent="0.25">
      <c r="C2" s="3" t="s">
        <v>159</v>
      </c>
    </row>
    <row r="4" spans="1:7" ht="30.75" customHeight="1" x14ac:dyDescent="0.25">
      <c r="C4" s="707" t="s">
        <v>231</v>
      </c>
      <c r="D4" s="708"/>
      <c r="E4" s="708"/>
      <c r="F4" s="708"/>
    </row>
    <row r="5" spans="1:7" ht="15.75" thickBot="1" x14ac:dyDescent="0.3">
      <c r="D5" s="7"/>
      <c r="F5" s="61"/>
    </row>
    <row r="6" spans="1:7" ht="27.75" thickBot="1" x14ac:dyDescent="0.3">
      <c r="C6" s="63" t="s">
        <v>157</v>
      </c>
      <c r="D6" s="67" t="s">
        <v>160</v>
      </c>
      <c r="E6" s="65" t="s">
        <v>161</v>
      </c>
      <c r="F6" s="65" t="s">
        <v>162</v>
      </c>
    </row>
    <row r="7" spans="1:7" ht="15.75" thickBot="1" x14ac:dyDescent="0.3">
      <c r="A7" s="709" t="s">
        <v>211</v>
      </c>
      <c r="B7" s="230"/>
      <c r="C7" s="276" t="s">
        <v>117</v>
      </c>
      <c r="D7" s="64" t="s">
        <v>119</v>
      </c>
      <c r="E7" s="229" t="s">
        <v>163</v>
      </c>
      <c r="F7" s="66">
        <f>'Grille tarifaire'!I7</f>
        <v>3095.28</v>
      </c>
      <c r="G7" s="226"/>
    </row>
    <row r="8" spans="1:7" ht="15.75" thickBot="1" x14ac:dyDescent="0.3">
      <c r="A8" s="710"/>
      <c r="B8" s="230"/>
      <c r="C8" s="277" t="s">
        <v>117</v>
      </c>
      <c r="D8" s="62" t="s">
        <v>119</v>
      </c>
      <c r="E8" s="62" t="s">
        <v>164</v>
      </c>
      <c r="F8" s="8">
        <f>'Grille tarifaire'!I8</f>
        <v>555.72</v>
      </c>
      <c r="G8" s="226"/>
    </row>
    <row r="9" spans="1:7" ht="15.75" thickBot="1" x14ac:dyDescent="0.3">
      <c r="C9" s="6"/>
      <c r="D9" s="6"/>
      <c r="E9" s="6"/>
      <c r="F9" s="6"/>
    </row>
    <row r="10" spans="1:7" ht="15" customHeight="1" thickBot="1" x14ac:dyDescent="0.3">
      <c r="A10" s="709" t="s">
        <v>209</v>
      </c>
      <c r="C10" s="275" t="s">
        <v>117</v>
      </c>
      <c r="D10" s="62" t="s">
        <v>119</v>
      </c>
      <c r="E10" s="62" t="s">
        <v>163</v>
      </c>
      <c r="F10" s="62">
        <f>'Grille tarifaire'!J7</f>
        <v>3094.92</v>
      </c>
    </row>
    <row r="11" spans="1:7" ht="15.75" thickBot="1" x14ac:dyDescent="0.3">
      <c r="A11" s="710"/>
      <c r="C11" s="275" t="s">
        <v>117</v>
      </c>
      <c r="D11" s="62" t="s">
        <v>119</v>
      </c>
      <c r="E11" s="62" t="s">
        <v>164</v>
      </c>
      <c r="F11" s="62">
        <f>'Grille tarifaire'!J8</f>
        <v>555.72</v>
      </c>
    </row>
    <row r="12" spans="1:7" ht="15.75" thickBot="1" x14ac:dyDescent="0.3">
      <c r="C12" s="6"/>
      <c r="D12" s="6"/>
      <c r="E12" s="6"/>
      <c r="F12" s="6"/>
    </row>
    <row r="13" spans="1:7" ht="15.75" thickBot="1" x14ac:dyDescent="0.3">
      <c r="A13" s="709" t="s">
        <v>210</v>
      </c>
      <c r="B13" s="230"/>
      <c r="C13" s="275" t="s">
        <v>117</v>
      </c>
      <c r="D13" s="62" t="s">
        <v>119</v>
      </c>
      <c r="E13" s="62" t="s">
        <v>163</v>
      </c>
      <c r="F13" s="62">
        <f>'Grille tarifaire'!K7</f>
        <v>3302.04</v>
      </c>
    </row>
    <row r="14" spans="1:7" ht="15" customHeight="1" thickBot="1" x14ac:dyDescent="0.3">
      <c r="A14" s="710"/>
      <c r="C14" s="275" t="s">
        <v>117</v>
      </c>
      <c r="D14" s="62" t="s">
        <v>119</v>
      </c>
      <c r="E14" s="62" t="s">
        <v>164</v>
      </c>
      <c r="F14" s="62">
        <f>'Grille tarifaire'!K8</f>
        <v>592.79999999999995</v>
      </c>
    </row>
    <row r="15" spans="1:7" ht="15.75" thickBot="1" x14ac:dyDescent="0.3">
      <c r="C15" s="6"/>
      <c r="D15" s="6"/>
      <c r="E15" s="6"/>
      <c r="F15" s="6"/>
    </row>
    <row r="16" spans="1:7" ht="15.75" thickBot="1" x14ac:dyDescent="0.3">
      <c r="A16" s="709" t="s">
        <v>212</v>
      </c>
      <c r="C16" s="275" t="s">
        <v>117</v>
      </c>
      <c r="D16" s="62" t="s">
        <v>119</v>
      </c>
      <c r="E16" s="62" t="s">
        <v>163</v>
      </c>
      <c r="F16" s="62">
        <f>'Grille tarifaire'!L7</f>
        <v>3384.3599999999997</v>
      </c>
    </row>
    <row r="17" spans="1:6" ht="15.75" thickBot="1" x14ac:dyDescent="0.3">
      <c r="A17" s="710"/>
      <c r="B17" s="230"/>
      <c r="C17" s="275" t="s">
        <v>117</v>
      </c>
      <c r="D17" s="62" t="s">
        <v>119</v>
      </c>
      <c r="E17" s="62" t="s">
        <v>164</v>
      </c>
      <c r="F17" s="62">
        <f>'Grille tarifaire'!L8</f>
        <v>607.67999999999995</v>
      </c>
    </row>
    <row r="18" spans="1:6" x14ac:dyDescent="0.25">
      <c r="C18" s="6"/>
      <c r="D18" s="6"/>
      <c r="E18" s="6"/>
      <c r="F18" s="6"/>
    </row>
    <row r="24" spans="1:6" ht="60" customHeight="1" x14ac:dyDescent="0.25"/>
    <row r="32" spans="1:6" ht="15" customHeight="1" x14ac:dyDescent="0.25"/>
    <row r="40" ht="31.5" customHeight="1" x14ac:dyDescent="0.25"/>
    <row r="51" ht="28.5" customHeight="1" x14ac:dyDescent="0.25"/>
  </sheetData>
  <mergeCells count="5">
    <mergeCell ref="A7:A8"/>
    <mergeCell ref="A10:A11"/>
    <mergeCell ref="A13:A14"/>
    <mergeCell ref="A16:A17"/>
    <mergeCell ref="C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D25"/>
  <sheetViews>
    <sheetView workbookViewId="0">
      <pane xSplit="1" ySplit="2" topLeftCell="B3" activePane="bottomRight" state="frozen"/>
      <selection pane="topRight" activeCell="B1" sqref="B1"/>
      <selection pane="bottomLeft" activeCell="A3" sqref="A3"/>
      <selection pane="bottomRight" activeCell="D15" sqref="D15:D17"/>
    </sheetView>
  </sheetViews>
  <sheetFormatPr baseColWidth="10" defaultColWidth="11.28515625" defaultRowHeight="15" x14ac:dyDescent="0.25"/>
  <cols>
    <col min="1" max="1" width="17.7109375" customWidth="1"/>
    <col min="2" max="2" width="4.140625" customWidth="1"/>
    <col min="3" max="3" width="34" customWidth="1"/>
    <col min="4" max="4" width="21.7109375" customWidth="1"/>
  </cols>
  <sheetData>
    <row r="1" spans="1:4" x14ac:dyDescent="0.25">
      <c r="C1" s="1" t="s">
        <v>0</v>
      </c>
    </row>
    <row r="2" spans="1:4" ht="24" x14ac:dyDescent="0.25">
      <c r="C2" s="3" t="s">
        <v>165</v>
      </c>
    </row>
    <row r="4" spans="1:4" ht="45.95" customHeight="1" x14ac:dyDescent="0.25">
      <c r="C4" s="707" t="s">
        <v>232</v>
      </c>
      <c r="D4" s="708"/>
    </row>
    <row r="5" spans="1:4" ht="15.75" thickBot="1" x14ac:dyDescent="0.3">
      <c r="D5" s="61"/>
    </row>
    <row r="6" spans="1:4" ht="27.75" thickBot="1" x14ac:dyDescent="0.3">
      <c r="C6" s="63" t="s">
        <v>157</v>
      </c>
      <c r="D6" s="65" t="s">
        <v>166</v>
      </c>
    </row>
    <row r="7" spans="1:4" ht="15.75" customHeight="1" thickBot="1" x14ac:dyDescent="0.3">
      <c r="A7" s="709" t="s">
        <v>211</v>
      </c>
      <c r="B7" s="230"/>
      <c r="C7" s="274" t="s">
        <v>123</v>
      </c>
      <c r="D7" s="231">
        <f>'Grille tarifaire'!I9</f>
        <v>23</v>
      </c>
    </row>
    <row r="8" spans="1:4" ht="15.75" customHeight="1" thickBot="1" x14ac:dyDescent="0.3">
      <c r="A8" s="710"/>
      <c r="B8" s="230"/>
      <c r="C8" s="278" t="s">
        <v>125</v>
      </c>
      <c r="D8" s="66">
        <f>'Grille tarifaire'!I10</f>
        <v>23</v>
      </c>
    </row>
    <row r="9" spans="1:4" ht="15.75" thickBot="1" x14ac:dyDescent="0.3">
      <c r="A9" s="710"/>
      <c r="B9" s="230"/>
      <c r="C9" s="275" t="s">
        <v>126</v>
      </c>
      <c r="D9" s="66">
        <f>'Grille tarifaire'!I11</f>
        <v>0</v>
      </c>
    </row>
    <row r="10" spans="1:4" ht="15" customHeight="1" thickBot="1" x14ac:dyDescent="0.3">
      <c r="A10" s="88"/>
      <c r="C10" s="6"/>
      <c r="D10" s="6"/>
    </row>
    <row r="11" spans="1:4" ht="15.75" thickBot="1" x14ac:dyDescent="0.3">
      <c r="A11" s="709" t="s">
        <v>209</v>
      </c>
      <c r="B11" s="230"/>
      <c r="C11" s="275" t="s">
        <v>123</v>
      </c>
      <c r="D11" s="62">
        <f>'Grille tarifaire'!J9</f>
        <v>23</v>
      </c>
    </row>
    <row r="12" spans="1:4" ht="15.75" thickBot="1" x14ac:dyDescent="0.3">
      <c r="A12" s="710"/>
      <c r="B12" s="230"/>
      <c r="C12" s="275" t="s">
        <v>125</v>
      </c>
      <c r="D12" s="62">
        <f>'Grille tarifaire'!J10</f>
        <v>23</v>
      </c>
    </row>
    <row r="13" spans="1:4" ht="15.75" customHeight="1" thickBot="1" x14ac:dyDescent="0.3">
      <c r="A13" s="710"/>
      <c r="B13" s="230"/>
      <c r="C13" s="275" t="s">
        <v>126</v>
      </c>
      <c r="D13" s="62">
        <f>'Grille tarifaire'!J11</f>
        <v>0</v>
      </c>
    </row>
    <row r="14" spans="1:4" ht="15.75" thickBot="1" x14ac:dyDescent="0.3">
      <c r="A14" s="90"/>
      <c r="C14" s="228"/>
      <c r="D14" s="6"/>
    </row>
    <row r="15" spans="1:4" ht="15.75" thickBot="1" x14ac:dyDescent="0.3">
      <c r="A15" s="711" t="s">
        <v>210</v>
      </c>
      <c r="C15" s="275" t="s">
        <v>123</v>
      </c>
      <c r="D15" s="62">
        <f>'Grille tarifaire'!K9</f>
        <v>23</v>
      </c>
    </row>
    <row r="16" spans="1:4" ht="15" customHeight="1" thickBot="1" x14ac:dyDescent="0.3">
      <c r="A16" s="708"/>
      <c r="C16" s="277" t="s">
        <v>125</v>
      </c>
      <c r="D16" s="62">
        <f>'Grille tarifaire'!K10</f>
        <v>23</v>
      </c>
    </row>
    <row r="17" spans="1:4" ht="15.75" thickBot="1" x14ac:dyDescent="0.3">
      <c r="A17" s="712"/>
      <c r="C17" s="277" t="s">
        <v>126</v>
      </c>
      <c r="D17" s="62">
        <f>'Grille tarifaire'!K11</f>
        <v>0</v>
      </c>
    </row>
    <row r="18" spans="1:4" ht="15.75" customHeight="1" thickBot="1" x14ac:dyDescent="0.3">
      <c r="A18" s="89"/>
      <c r="C18" s="6"/>
      <c r="D18" s="6"/>
    </row>
    <row r="19" spans="1:4" ht="15.75" thickBot="1" x14ac:dyDescent="0.3">
      <c r="A19" s="709" t="s">
        <v>212</v>
      </c>
      <c r="C19" s="275" t="s">
        <v>123</v>
      </c>
      <c r="D19" s="62">
        <f>'Grille tarifaire'!L9</f>
        <v>23</v>
      </c>
    </row>
    <row r="20" spans="1:4" ht="15.75" thickBot="1" x14ac:dyDescent="0.3">
      <c r="A20" s="710"/>
      <c r="C20" s="277" t="s">
        <v>125</v>
      </c>
      <c r="D20" s="62">
        <f>'Grille tarifaire'!L10</f>
        <v>23</v>
      </c>
    </row>
    <row r="21" spans="1:4" ht="15.75" thickBot="1" x14ac:dyDescent="0.3">
      <c r="A21" s="713"/>
      <c r="C21" s="277" t="s">
        <v>126</v>
      </c>
      <c r="D21" s="62">
        <f>'Grille tarifaire'!L11</f>
        <v>0</v>
      </c>
    </row>
    <row r="22" spans="1:4" x14ac:dyDescent="0.25">
      <c r="C22" s="6"/>
    </row>
    <row r="23" spans="1:4" ht="15" customHeight="1" x14ac:dyDescent="0.25">
      <c r="A23" s="88"/>
    </row>
    <row r="24" spans="1:4" x14ac:dyDescent="0.25">
      <c r="A24" s="88"/>
    </row>
    <row r="25" spans="1:4" x14ac:dyDescent="0.25">
      <c r="A25" s="88"/>
    </row>
  </sheetData>
  <mergeCells count="5">
    <mergeCell ref="C4:D4"/>
    <mergeCell ref="A7:A9"/>
    <mergeCell ref="A11:A13"/>
    <mergeCell ref="A15:A17"/>
    <mergeCell ref="A19:A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407A6EC4B95340AC27CB3C7E55252E" ma:contentTypeVersion="8" ma:contentTypeDescription="Crée un document." ma:contentTypeScope="" ma:versionID="22bfc6bf5d54b75d7073143dafe22f5e">
  <xsd:schema xmlns:xsd="http://www.w3.org/2001/XMLSchema" xmlns:xs="http://www.w3.org/2001/XMLSchema" xmlns:p="http://schemas.microsoft.com/office/2006/metadata/properties" xmlns:ns3="4eef01b6-2807-45da-a158-2bb2fb7998bb" xmlns:ns4="72be76ca-0f39-41c6-a2ea-2b381aa5f716" targetNamespace="http://schemas.microsoft.com/office/2006/metadata/properties" ma:root="true" ma:fieldsID="80aae4cd74bb3636162d7d6d6f474527" ns3:_="" ns4:_="">
    <xsd:import namespace="4eef01b6-2807-45da-a158-2bb2fb7998bb"/>
    <xsd:import namespace="72be76ca-0f39-41c6-a2ea-2b381aa5f71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ef01b6-2807-45da-a158-2bb2fb7998b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be76ca-0f39-41c6-a2ea-2b381aa5f7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BA2BE-C4CA-4397-A0DA-747EE7E0A27D}">
  <ds:schemaRefs>
    <ds:schemaRef ds:uri="4eef01b6-2807-45da-a158-2bb2fb7998bb"/>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documentManagement/types"/>
    <ds:schemaRef ds:uri="72be76ca-0f39-41c6-a2ea-2b381aa5f716"/>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2F5E4F4-C0D8-4188-972B-D6C6EDBF2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ef01b6-2807-45da-a158-2bb2fb7998bb"/>
    <ds:schemaRef ds:uri="72be76ca-0f39-41c6-a2ea-2b381aa5f7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CA931A-46F3-4CA0-8227-212891361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NOTICE</vt:lpstr>
      <vt:lpstr>Equilibre prévisionnel</vt:lpstr>
      <vt:lpstr>IPC</vt:lpstr>
      <vt:lpstr>Montants réalisés</vt:lpstr>
      <vt:lpstr>CRCP &amp; évolutions</vt:lpstr>
      <vt:lpstr>Grille tarifaire</vt:lpstr>
      <vt:lpstr>CG</vt:lpstr>
      <vt:lpstr>CC</vt:lpstr>
      <vt:lpstr>CI</vt:lpstr>
      <vt:lpstr>CS - HTB 3</vt:lpstr>
      <vt:lpstr>CS et CMDPS - HTB 2</vt:lpstr>
      <vt:lpstr>CS et CMDPS - HTB 1</vt:lpstr>
      <vt:lpstr>CACS</vt:lpstr>
      <vt:lpstr>CR</vt:lpstr>
      <vt:lpstr>CT</vt:lpstr>
      <vt:lpstr>CDPP</vt:lpstr>
      <vt:lpstr>CER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2023-06-09T12:25:05Z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0x0101007B407A6EC4B95340AC27CB3C7E55252E</vt:lpwstr>
  </property>
</Properties>
</file>