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defaultThemeVersion="124226"/>
  <xr:revisionPtr revIDLastSave="0" documentId="8_{C75C63B9-2832-4CE1-9F36-0972771940E1}" xr6:coauthVersionLast="47" xr6:coauthVersionMax="47" xr10:uidLastSave="{00000000-0000-0000-0000-000000000000}"/>
  <bookViews>
    <workbookView xWindow="-57720" yWindow="-120" windowWidth="29040" windowHeight="15720" tabRatio="881" activeTab="1" xr2:uid="{00000000-000D-0000-FFFF-FFFF00000000}"/>
  </bookViews>
  <sheets>
    <sheet name="NOTICE" sheetId="4" r:id="rId1"/>
    <sheet name="Equilibre prévisionnel" sheetId="17" r:id="rId2"/>
    <sheet name="IPC" sheetId="16" r:id="rId3"/>
    <sheet name="Montants réalisés" sheetId="18" r:id="rId4"/>
    <sheet name="CRCP &amp; évolutions" sheetId="5" r:id="rId5"/>
    <sheet name="Grille tarifaire" sheetId="9" r:id="rId6"/>
    <sheet name="CG" sheetId="2" r:id="rId7"/>
    <sheet name="CC" sheetId="6" r:id="rId8"/>
    <sheet name="CI" sheetId="8" r:id="rId9"/>
    <sheet name="CS - HTB 3" sheetId="7" r:id="rId10"/>
    <sheet name="CS et CMDPS - HTB 2" sheetId="19" r:id="rId11"/>
    <sheet name="CS et CMDPS - HTB 1" sheetId="20" r:id="rId12"/>
    <sheet name="CACS" sheetId="12" r:id="rId13"/>
    <sheet name="CR" sheetId="13" r:id="rId14"/>
    <sheet name="CT" sheetId="14" r:id="rId15"/>
    <sheet name="CDPP" sheetId="21" r:id="rId16"/>
    <sheet name="CER" sheetId="15" r:id="rId17"/>
  </sheets>
  <definedNames>
    <definedName name="solver_adj" localSheetId="4" hidden="1">'CRCP &amp; évolutions'!$F$83</definedName>
    <definedName name="solver_cvg" localSheetId="4" hidden="1">0.0001</definedName>
    <definedName name="solver_drv" localSheetId="4" hidden="1">1</definedName>
    <definedName name="solver_eng" localSheetId="4" hidden="1">1</definedName>
    <definedName name="solver_est" localSheetId="4" hidden="1">1</definedName>
    <definedName name="solver_itr" localSheetId="4" hidden="1">2147483647</definedName>
    <definedName name="solver_mip" localSheetId="4" hidden="1">2147483647</definedName>
    <definedName name="solver_mni" localSheetId="4" hidden="1">30</definedName>
    <definedName name="solver_mrt" localSheetId="4" hidden="1">0.075</definedName>
    <definedName name="solver_msl" localSheetId="4" hidden="1">2</definedName>
    <definedName name="solver_neg" localSheetId="4" hidden="1">1</definedName>
    <definedName name="solver_nod" localSheetId="4" hidden="1">2147483647</definedName>
    <definedName name="solver_num" localSheetId="4" hidden="1">0</definedName>
    <definedName name="solver_nwt" localSheetId="4" hidden="1">1</definedName>
    <definedName name="solver_opt" localSheetId="4" hidden="1">'CRCP &amp; évolutions'!#REF!</definedName>
    <definedName name="solver_pre" localSheetId="4" hidden="1">0.000001</definedName>
    <definedName name="solver_rbv" localSheetId="4" hidden="1">1</definedName>
    <definedName name="solver_rlx" localSheetId="4" hidden="1">2</definedName>
    <definedName name="solver_rsd" localSheetId="4" hidden="1">0</definedName>
    <definedName name="solver_scl" localSheetId="4" hidden="1">1</definedName>
    <definedName name="solver_sho" localSheetId="4" hidden="1">2</definedName>
    <definedName name="solver_ssz" localSheetId="4" hidden="1">100</definedName>
    <definedName name="solver_tim" localSheetId="4" hidden="1">2147483647</definedName>
    <definedName name="solver_tol" localSheetId="4" hidden="1">0.01</definedName>
    <definedName name="solver_typ" localSheetId="4" hidden="1">3</definedName>
    <definedName name="solver_val" localSheetId="4" hidden="1">0</definedName>
    <definedName name="solver_ver" localSheetId="4" hidden="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2" i="17" l="1"/>
  <c r="F82" i="17"/>
  <c r="G82" i="17"/>
  <c r="H82" i="17"/>
  <c r="I82" i="17"/>
  <c r="F11" i="5"/>
  <c r="G76" i="5" l="1"/>
  <c r="G75" i="5" l="1"/>
  <c r="F39" i="5" l="1"/>
  <c r="K101" i="9"/>
  <c r="K100" i="9"/>
  <c r="F58" i="5" l="1"/>
  <c r="F62" i="5" l="1"/>
  <c r="F71" i="17"/>
  <c r="F68" i="17"/>
  <c r="F69" i="17"/>
  <c r="E72" i="17"/>
  <c r="E77" i="17"/>
  <c r="F67" i="17"/>
  <c r="F70" i="17"/>
  <c r="F77" i="17"/>
  <c r="F81" i="17"/>
  <c r="F80" i="17"/>
  <c r="G78" i="17"/>
  <c r="G80" i="17"/>
  <c r="G77" i="17"/>
  <c r="D12" i="18" l="1"/>
  <c r="F21" i="5"/>
  <c r="F24" i="5" l="1"/>
  <c r="E24" i="5"/>
  <c r="E22" i="5" l="1"/>
  <c r="F22" i="5" l="1"/>
  <c r="D10" i="18"/>
  <c r="F55" i="17"/>
  <c r="I7" i="16"/>
  <c r="D44" i="16" s="1"/>
  <c r="I8" i="16" l="1"/>
  <c r="E59" i="17" l="1"/>
  <c r="E69" i="17"/>
  <c r="G22" i="5" l="1"/>
  <c r="H22" i="5"/>
  <c r="E39" i="5"/>
  <c r="E54" i="17"/>
  <c r="F64" i="17" l="1"/>
  <c r="E64" i="17" l="1"/>
  <c r="E61" i="17" l="1"/>
  <c r="F56" i="17" l="1"/>
  <c r="F57" i="17" s="1"/>
  <c r="E40" i="5" l="1"/>
  <c r="E21" i="5"/>
  <c r="D8" i="17" l="1"/>
  <c r="E8" i="17" s="1"/>
  <c r="F40" i="5"/>
  <c r="G40" i="5"/>
  <c r="H40" i="5"/>
  <c r="C30" i="18"/>
  <c r="C22" i="18"/>
  <c r="C12" i="18"/>
  <c r="C10" i="18" l="1"/>
  <c r="G21" i="5" l="1"/>
  <c r="H21" i="5"/>
  <c r="E61" i="5" l="1"/>
  <c r="E19" i="5"/>
  <c r="E68" i="17"/>
  <c r="E55" i="17"/>
  <c r="E63" i="17" l="1"/>
  <c r="E62" i="17"/>
  <c r="E58" i="17"/>
  <c r="E80" i="17"/>
  <c r="F10" i="5"/>
  <c r="G10" i="5"/>
  <c r="H10" i="5"/>
  <c r="D11" i="5"/>
  <c r="E11" i="5" s="1"/>
  <c r="H10" i="16"/>
  <c r="G10" i="16"/>
  <c r="E8" i="18" l="1"/>
  <c r="F8" i="18"/>
  <c r="E9" i="18"/>
  <c r="F9" i="18"/>
  <c r="E10" i="18"/>
  <c r="F10" i="18"/>
  <c r="E12" i="18"/>
  <c r="F12" i="18"/>
  <c r="E14" i="18"/>
  <c r="F14" i="18"/>
  <c r="E15" i="18"/>
  <c r="F15" i="18"/>
  <c r="E16" i="18"/>
  <c r="F16" i="18"/>
  <c r="E18" i="18"/>
  <c r="F18" i="18"/>
  <c r="E19" i="18"/>
  <c r="F19" i="18"/>
  <c r="E20" i="18"/>
  <c r="F20" i="18"/>
  <c r="D21" i="18"/>
  <c r="E21" i="18"/>
  <c r="F21" i="18"/>
  <c r="E23" i="18"/>
  <c r="F23" i="18"/>
  <c r="C21" i="18"/>
  <c r="C23" i="18"/>
  <c r="C20" i="18"/>
  <c r="F9" i="5" l="1"/>
  <c r="G9" i="5"/>
  <c r="H9" i="5"/>
  <c r="J46" i="17"/>
  <c r="H66" i="5"/>
  <c r="I85" i="17" l="1"/>
  <c r="H77" i="17"/>
  <c r="G64" i="17" l="1"/>
  <c r="H64" i="17"/>
  <c r="G56" i="17"/>
  <c r="G57" i="17" l="1"/>
  <c r="G24" i="5" l="1"/>
  <c r="H24" i="5"/>
  <c r="F28" i="5" l="1"/>
  <c r="G28" i="5"/>
  <c r="H28" i="5"/>
  <c r="F29" i="5"/>
  <c r="G29" i="5"/>
  <c r="H29" i="5"/>
  <c r="E29" i="5"/>
  <c r="E28" i="5"/>
  <c r="F27" i="5"/>
  <c r="G27" i="5"/>
  <c r="H27" i="5"/>
  <c r="E27" i="5"/>
  <c r="J20" i="17" l="1"/>
  <c r="J21" i="17"/>
  <c r="J22" i="17"/>
  <c r="J23" i="17"/>
  <c r="J24" i="17"/>
  <c r="J27" i="17"/>
  <c r="J28" i="17"/>
  <c r="J29" i="17"/>
  <c r="J30" i="17"/>
  <c r="J31" i="17"/>
  <c r="H56" i="17"/>
  <c r="H57" i="17" s="1"/>
  <c r="G55" i="17" l="1"/>
  <c r="H55" i="17"/>
  <c r="J35" i="17" l="1"/>
  <c r="J36" i="17"/>
  <c r="J37" i="17"/>
  <c r="J38" i="17"/>
  <c r="J39" i="17"/>
  <c r="J33" i="17"/>
  <c r="E12" i="17" l="1"/>
  <c r="E25" i="17" s="1"/>
  <c r="C7" i="18"/>
  <c r="E46" i="5" l="1"/>
  <c r="F46" i="5"/>
  <c r="G46" i="5"/>
  <c r="H46" i="5"/>
  <c r="F47" i="5"/>
  <c r="G47" i="5"/>
  <c r="H47" i="5"/>
  <c r="E48" i="5"/>
  <c r="F48" i="5"/>
  <c r="G48" i="5"/>
  <c r="H48" i="5"/>
  <c r="E49" i="5"/>
  <c r="F49" i="5"/>
  <c r="G49" i="5"/>
  <c r="H49" i="5"/>
  <c r="E50" i="5"/>
  <c r="F50" i="5"/>
  <c r="G50" i="5"/>
  <c r="H50" i="5"/>
  <c r="E44" i="5"/>
  <c r="F44" i="5"/>
  <c r="G44" i="5"/>
  <c r="H44" i="5"/>
  <c r="E41" i="5"/>
  <c r="F41" i="5"/>
  <c r="G41" i="5"/>
  <c r="H41" i="5"/>
  <c r="F30" i="5"/>
  <c r="G30" i="5"/>
  <c r="H30" i="5"/>
  <c r="E30" i="5"/>
  <c r="F26" i="5" l="1"/>
  <c r="G26" i="5"/>
  <c r="H26" i="5"/>
  <c r="E26" i="5"/>
  <c r="E18" i="5"/>
  <c r="F18" i="5" l="1"/>
  <c r="G18" i="5"/>
  <c r="H18" i="5"/>
  <c r="K41" i="17" l="1"/>
  <c r="F32" i="17"/>
  <c r="G32" i="17"/>
  <c r="H32" i="17"/>
  <c r="E32" i="17"/>
  <c r="E48" i="17" s="1"/>
  <c r="G39" i="5" l="1"/>
  <c r="H39" i="5"/>
  <c r="E38" i="5"/>
  <c r="F38" i="5"/>
  <c r="G38" i="5"/>
  <c r="H38" i="5"/>
  <c r="F37" i="5"/>
  <c r="G37" i="5"/>
  <c r="H37" i="5"/>
  <c r="E37" i="5"/>
  <c r="H64" i="5" l="1"/>
  <c r="H65" i="5"/>
  <c r="G8" i="15"/>
  <c r="G7" i="15"/>
  <c r="D8" i="15"/>
  <c r="D7" i="15"/>
  <c r="G25" i="5"/>
  <c r="H25" i="5"/>
  <c r="E25" i="5"/>
  <c r="H9" i="16" l="1"/>
  <c r="G9" i="16"/>
  <c r="G7" i="16" l="1"/>
  <c r="H7" i="16"/>
  <c r="F7" i="18" l="1"/>
  <c r="F19" i="5" l="1"/>
  <c r="G19" i="5"/>
  <c r="H19" i="5"/>
  <c r="D7" i="18"/>
  <c r="E7" i="18"/>
  <c r="G12" i="17" l="1"/>
  <c r="G25" i="17" s="1"/>
  <c r="D8" i="21" l="1"/>
  <c r="D7" i="21"/>
  <c r="E8" i="14"/>
  <c r="E9" i="14"/>
  <c r="E7" i="14"/>
  <c r="E12" i="13"/>
  <c r="E11" i="13"/>
  <c r="E10" i="13"/>
  <c r="E9" i="13"/>
  <c r="D7" i="13"/>
  <c r="O11" i="12"/>
  <c r="N11" i="12"/>
  <c r="M11" i="12"/>
  <c r="O9" i="12"/>
  <c r="N9" i="12"/>
  <c r="M9" i="12"/>
  <c r="O7" i="12"/>
  <c r="N7" i="12"/>
  <c r="M7" i="12"/>
  <c r="I10" i="12"/>
  <c r="I7" i="12"/>
  <c r="F12" i="12"/>
  <c r="F11" i="12"/>
  <c r="D11" i="12"/>
  <c r="F10" i="12"/>
  <c r="F9" i="12"/>
  <c r="D9" i="12"/>
  <c r="E7" i="12"/>
  <c r="D7" i="12"/>
  <c r="V9" i="20"/>
  <c r="U9" i="20"/>
  <c r="T9" i="20"/>
  <c r="S9" i="20"/>
  <c r="R9" i="20"/>
  <c r="V8" i="20"/>
  <c r="U8" i="20"/>
  <c r="T8" i="20"/>
  <c r="S8" i="20"/>
  <c r="R8" i="20"/>
  <c r="O9" i="20"/>
  <c r="N9" i="20"/>
  <c r="M9" i="20"/>
  <c r="L9" i="20"/>
  <c r="K9" i="20"/>
  <c r="O8" i="20"/>
  <c r="N8" i="20"/>
  <c r="M8" i="20"/>
  <c r="L8" i="20"/>
  <c r="K8" i="20"/>
  <c r="H9" i="20"/>
  <c r="G9" i="20"/>
  <c r="F9" i="20"/>
  <c r="E9" i="20"/>
  <c r="D9" i="20"/>
  <c r="H8" i="20"/>
  <c r="G8" i="20"/>
  <c r="F8" i="20"/>
  <c r="E8" i="20"/>
  <c r="D8" i="20"/>
  <c r="V9" i="19"/>
  <c r="U9" i="19"/>
  <c r="T9" i="19"/>
  <c r="S9" i="19"/>
  <c r="R9" i="19"/>
  <c r="V8" i="19"/>
  <c r="U8" i="19"/>
  <c r="T8" i="19"/>
  <c r="S8" i="19"/>
  <c r="R8" i="19"/>
  <c r="O9" i="19"/>
  <c r="N9" i="19"/>
  <c r="M9" i="19"/>
  <c r="L9" i="19"/>
  <c r="K9" i="19"/>
  <c r="O8" i="19"/>
  <c r="N8" i="19"/>
  <c r="M8" i="19"/>
  <c r="L8" i="19"/>
  <c r="K8" i="19"/>
  <c r="H9" i="19"/>
  <c r="G9" i="19"/>
  <c r="F9" i="19"/>
  <c r="E9" i="19"/>
  <c r="D9" i="19"/>
  <c r="H8" i="19"/>
  <c r="G8" i="19"/>
  <c r="F8" i="19"/>
  <c r="E8" i="19"/>
  <c r="D8" i="19"/>
  <c r="D7" i="7"/>
  <c r="D8" i="8"/>
  <c r="D9" i="8"/>
  <c r="D7" i="8"/>
  <c r="F8" i="6"/>
  <c r="F7" i="6"/>
  <c r="D7" i="2"/>
  <c r="F23" i="5" l="1"/>
  <c r="G23" i="5"/>
  <c r="H23" i="5"/>
  <c r="E23" i="5" l="1"/>
  <c r="F20" i="5"/>
  <c r="G20" i="5"/>
  <c r="H20" i="5"/>
  <c r="E20" i="5"/>
  <c r="F12" i="17"/>
  <c r="F25" i="17" s="1"/>
  <c r="H12" i="17"/>
  <c r="H25" i="17" s="1"/>
  <c r="J12" i="17" l="1"/>
  <c r="J60" i="17"/>
  <c r="J53" i="17"/>
  <c r="J52" i="17"/>
  <c r="J32" i="17" l="1"/>
  <c r="J15" i="17" l="1"/>
  <c r="J16" i="17"/>
  <c r="J17" i="17"/>
  <c r="H8" i="16"/>
  <c r="E12" i="5" l="1"/>
  <c r="J11" i="17"/>
  <c r="E17" i="5" l="1"/>
  <c r="F76" i="5"/>
  <c r="F8" i="17"/>
  <c r="F12" i="5" s="1"/>
  <c r="F17" i="5" l="1"/>
  <c r="I64" i="17"/>
  <c r="G8" i="17"/>
  <c r="G12" i="5" s="1"/>
  <c r="H8" i="17" l="1"/>
  <c r="H12" i="5" s="1"/>
  <c r="I56" i="17"/>
  <c r="I52" i="17" l="1"/>
  <c r="I53" i="17"/>
  <c r="F45" i="5"/>
  <c r="G45" i="5"/>
  <c r="H45" i="5"/>
  <c r="E45" i="5"/>
  <c r="F36" i="5"/>
  <c r="G36" i="5"/>
  <c r="H36" i="5"/>
  <c r="E36" i="5"/>
  <c r="I51" i="17" l="1"/>
  <c r="I55" i="17" s="1"/>
  <c r="I54" i="17" l="1"/>
  <c r="F52" i="5"/>
  <c r="G52" i="5"/>
  <c r="H52" i="5"/>
  <c r="E52" i="5"/>
  <c r="D5" i="5" l="1"/>
  <c r="D83" i="5" s="1"/>
  <c r="F86" i="5" s="1"/>
  <c r="D4" i="5"/>
  <c r="F75" i="5" s="1"/>
  <c r="H86" i="5" l="1"/>
  <c r="G86" i="5"/>
  <c r="J51" i="17"/>
  <c r="J44" i="17"/>
  <c r="J45" i="17" l="1"/>
  <c r="I57" i="17" l="1"/>
  <c r="I63" i="17" s="1"/>
  <c r="I62" i="17"/>
  <c r="J41" i="17" l="1"/>
  <c r="F42" i="17"/>
  <c r="G42" i="17"/>
  <c r="H42" i="17"/>
  <c r="E42" i="17"/>
  <c r="J34" i="17"/>
  <c r="F40" i="17"/>
  <c r="F48" i="17" s="1"/>
  <c r="G40" i="17"/>
  <c r="G48" i="17" s="1"/>
  <c r="H40" i="17"/>
  <c r="E40" i="17"/>
  <c r="J26" i="17"/>
  <c r="J13" i="17"/>
  <c r="J19" i="17"/>
  <c r="J18" i="17"/>
  <c r="K48" i="17" l="1"/>
  <c r="H48" i="17"/>
  <c r="J42" i="17"/>
  <c r="J40" i="17"/>
  <c r="J14" i="17" l="1"/>
  <c r="J48" i="17" l="1"/>
  <c r="J25" i="17"/>
  <c r="I8" i="17" l="1"/>
  <c r="I58" i="17" l="1"/>
  <c r="I61" i="17" l="1"/>
  <c r="I59" i="17"/>
  <c r="I10" i="16" l="1"/>
  <c r="D40" i="16" l="1"/>
  <c r="D36" i="16"/>
  <c r="D37" i="16"/>
  <c r="D38" i="16"/>
  <c r="D33" i="16"/>
  <c r="D41" i="16"/>
  <c r="D39" i="16"/>
  <c r="D34" i="16"/>
  <c r="D42" i="16"/>
  <c r="D35" i="16"/>
  <c r="D43" i="16"/>
  <c r="I9" i="16"/>
  <c r="J7" i="16" l="1"/>
  <c r="J8" i="16" l="1"/>
  <c r="D24" i="16"/>
  <c r="D32" i="16"/>
  <c r="D23" i="16"/>
  <c r="D25" i="16"/>
  <c r="D28" i="16"/>
  <c r="D29" i="16"/>
  <c r="D31" i="16"/>
  <c r="D26" i="16"/>
  <c r="D27" i="16"/>
  <c r="D21" i="16"/>
  <c r="D22" i="16"/>
  <c r="D30" i="16"/>
  <c r="J9" i="16" l="1"/>
  <c r="J10" i="16"/>
  <c r="K7" i="16"/>
  <c r="D15" i="16" l="1"/>
  <c r="D11" i="16"/>
  <c r="D12" i="16"/>
  <c r="D9" i="16"/>
  <c r="D17" i="16"/>
  <c r="D14" i="16"/>
  <c r="D19" i="16"/>
  <c r="D10" i="16"/>
  <c r="D18" i="16"/>
  <c r="D16" i="16"/>
  <c r="D20" i="16"/>
  <c r="D13" i="16"/>
  <c r="K8" i="16"/>
  <c r="K10" i="16" s="1"/>
  <c r="L7" i="16" l="1"/>
  <c r="L8" i="16" s="1"/>
  <c r="L10" i="16" s="1"/>
  <c r="K9" i="16"/>
  <c r="L9" i="16" l="1"/>
  <c r="G11" i="5"/>
  <c r="H76" i="5" s="1"/>
  <c r="G54" i="17"/>
  <c r="H54" i="17"/>
  <c r="F54" i="17"/>
  <c r="F63" i="17" l="1"/>
  <c r="H58" i="17"/>
  <c r="H59" i="17" s="1"/>
  <c r="H75" i="5"/>
  <c r="G17" i="5"/>
  <c r="H11" i="5"/>
  <c r="G63" i="17"/>
  <c r="G62" i="17"/>
  <c r="G58" i="17"/>
  <c r="G59" i="17" s="1"/>
  <c r="H63" i="17"/>
  <c r="F62" i="17"/>
  <c r="F61" i="17" s="1"/>
  <c r="J54" i="17"/>
  <c r="F58" i="17"/>
  <c r="F59" i="17" s="1"/>
  <c r="K59" i="17" s="1"/>
  <c r="H62" i="17"/>
  <c r="H17" i="5" l="1"/>
  <c r="J62" i="17"/>
  <c r="H61" i="17"/>
  <c r="J59" i="17"/>
  <c r="J63" i="17"/>
  <c r="G61" i="17"/>
  <c r="K61" i="17" s="1"/>
  <c r="J58" i="17"/>
  <c r="J61" i="17" l="1"/>
  <c r="G4" i="17" l="1"/>
  <c r="E65" i="17"/>
  <c r="F65" i="17" s="1"/>
  <c r="J77" i="17"/>
  <c r="E87" i="5" l="1"/>
  <c r="E78" i="17"/>
  <c r="E81" i="17" s="1"/>
  <c r="F78" i="17"/>
  <c r="G65" i="17"/>
  <c r="F87" i="5"/>
  <c r="I77" i="17"/>
  <c r="I80" i="17" s="1"/>
  <c r="J80" i="17"/>
  <c r="H78" i="17"/>
  <c r="D6" i="5"/>
  <c r="I78" i="17"/>
  <c r="I81" i="17" s="1"/>
  <c r="E85" i="5" l="1"/>
  <c r="E62" i="5" s="1"/>
  <c r="F73" i="5"/>
  <c r="E67" i="17"/>
  <c r="E70" i="17" s="1"/>
  <c r="H65" i="17"/>
  <c r="H87" i="5" s="1"/>
  <c r="G87" i="5"/>
  <c r="G68" i="17"/>
  <c r="H81" i="17"/>
  <c r="G81" i="17"/>
  <c r="H80" i="17"/>
  <c r="E60" i="5" l="1"/>
  <c r="K82" i="17"/>
  <c r="H68" i="17"/>
  <c r="G69" i="17"/>
  <c r="G67" i="17" s="1"/>
  <c r="G70" i="17" s="1"/>
  <c r="E58" i="5" l="1"/>
  <c r="F72" i="17"/>
  <c r="K72" i="17" s="1"/>
  <c r="I68" i="17"/>
  <c r="I65" i="17"/>
  <c r="I69" i="17" s="1"/>
  <c r="H69" i="17"/>
  <c r="H67" i="17" s="1"/>
  <c r="H70" i="17" s="1"/>
  <c r="K70" i="17" s="1"/>
  <c r="J68" i="17"/>
  <c r="F33" i="5" l="1"/>
  <c r="F60" i="5"/>
  <c r="G72" i="17"/>
  <c r="J69" i="17"/>
  <c r="H72" i="17"/>
  <c r="J70" i="17"/>
  <c r="E33" i="5"/>
  <c r="J67" i="17"/>
  <c r="I67" i="17"/>
  <c r="I70" i="17" s="1"/>
  <c r="H33" i="5" l="1"/>
  <c r="H54" i="5" s="1"/>
  <c r="H59" i="5" s="1"/>
  <c r="H60" i="5"/>
  <c r="G33" i="5"/>
  <c r="G54" i="5" s="1"/>
  <c r="G59" i="5" s="1"/>
  <c r="G60" i="5"/>
  <c r="J72" i="17"/>
  <c r="D11" i="8" l="1"/>
  <c r="D12" i="8"/>
  <c r="D15" i="8" l="1"/>
  <c r="D16" i="8"/>
  <c r="D19" i="8" l="1"/>
  <c r="D20" i="8"/>
  <c r="E47" i="5" l="1"/>
  <c r="E54" i="5" s="1"/>
  <c r="E59" i="5" s="1"/>
  <c r="E63" i="5" l="1"/>
  <c r="E67" i="5" l="1"/>
  <c r="E68" i="5" s="1"/>
  <c r="F81" i="5"/>
  <c r="F57" i="5" l="1"/>
  <c r="F74" i="5" l="1"/>
  <c r="F77" i="5" s="1"/>
  <c r="F79" i="5" s="1"/>
  <c r="F80" i="5" l="1"/>
  <c r="F84" i="5"/>
  <c r="F85" i="5" s="1"/>
  <c r="F82" i="5"/>
  <c r="F88" i="5" l="1"/>
  <c r="G73" i="5"/>
  <c r="F61" i="5"/>
  <c r="J101" i="9" l="1"/>
  <c r="D11" i="21" s="1"/>
  <c r="J90" i="9"/>
  <c r="N18" i="12" s="1"/>
  <c r="J88" i="9"/>
  <c r="O16" i="12" s="1"/>
  <c r="J75" i="9"/>
  <c r="D16" i="12" s="1"/>
  <c r="J35" i="9"/>
  <c r="T11" i="19" s="1"/>
  <c r="J45" i="9"/>
  <c r="F11" i="20" s="1"/>
  <c r="J98" i="9"/>
  <c r="E12" i="14" s="1"/>
  <c r="J70" i="9"/>
  <c r="T12" i="20" s="1"/>
  <c r="J30" i="9"/>
  <c r="M12" i="19" s="1"/>
  <c r="J40" i="9"/>
  <c r="T12" i="19" s="1"/>
  <c r="J12" i="9"/>
  <c r="D9" i="7" s="1"/>
  <c r="J82" i="9"/>
  <c r="I17" i="12" s="1"/>
  <c r="J27" i="9"/>
  <c r="O11" i="19" s="1"/>
  <c r="J33" i="9"/>
  <c r="R11" i="19" s="1"/>
  <c r="J8" i="9"/>
  <c r="F11" i="6" s="1"/>
  <c r="J16" i="9"/>
  <c r="G11" i="19" s="1"/>
  <c r="J18" i="9"/>
  <c r="D12" i="19" s="1"/>
  <c r="J104" i="9"/>
  <c r="G11" i="15" s="1"/>
  <c r="J44" i="9"/>
  <c r="E11" i="20" s="1"/>
  <c r="J53" i="9"/>
  <c r="K11" i="20" s="1"/>
  <c r="J89" i="9"/>
  <c r="M18" i="12" s="1"/>
  <c r="J81" i="9"/>
  <c r="I14" i="12" s="1"/>
  <c r="J39" i="9"/>
  <c r="S12" i="19" s="1"/>
  <c r="J64" i="9"/>
  <c r="S11" i="20" s="1"/>
  <c r="J77" i="9"/>
  <c r="F17" i="12" s="1"/>
  <c r="J25" i="9"/>
  <c r="M11" i="19" s="1"/>
  <c r="J97" i="9"/>
  <c r="E11" i="14" s="1"/>
  <c r="J7" i="9"/>
  <c r="F10" i="6" s="1"/>
  <c r="J24" i="9"/>
  <c r="L11" i="19" s="1"/>
  <c r="J26" i="9"/>
  <c r="N11" i="19" s="1"/>
  <c r="J102" i="9"/>
  <c r="D11" i="15" s="1"/>
  <c r="J52" i="9"/>
  <c r="H12" i="20" s="1"/>
  <c r="J69" i="9"/>
  <c r="S12" i="20" s="1"/>
  <c r="J21" i="9"/>
  <c r="G12" i="19" s="1"/>
  <c r="J76" i="9"/>
  <c r="F16" i="12" s="1"/>
  <c r="J63" i="9"/>
  <c r="R11" i="20" s="1"/>
  <c r="J15" i="9"/>
  <c r="F11" i="19" s="1"/>
  <c r="J31" i="9"/>
  <c r="N12" i="19" s="1"/>
  <c r="J87" i="9"/>
  <c r="N16" i="12" s="1"/>
  <c r="J67" i="9"/>
  <c r="V11" i="20" s="1"/>
  <c r="J62" i="9"/>
  <c r="O12" i="20" s="1"/>
  <c r="J6" i="9"/>
  <c r="D9" i="2" s="1"/>
  <c r="J32" i="9"/>
  <c r="O12" i="19" s="1"/>
  <c r="J34" i="9"/>
  <c r="S11" i="19" s="1"/>
  <c r="J92" i="9"/>
  <c r="D14" i="13" s="1"/>
  <c r="J60" i="9"/>
  <c r="M12" i="20" s="1"/>
  <c r="J96" i="9"/>
  <c r="E19" i="13" s="1"/>
  <c r="J29" i="9"/>
  <c r="L12" i="19" s="1"/>
  <c r="J105" i="9"/>
  <c r="G12" i="15" s="1"/>
  <c r="J71" i="9"/>
  <c r="U12" i="20" s="1"/>
  <c r="J48" i="9"/>
  <c r="D12" i="20" s="1"/>
  <c r="J17" i="9"/>
  <c r="H11" i="19" s="1"/>
  <c r="J57" i="9"/>
  <c r="O11" i="20" s="1"/>
  <c r="J99" i="9"/>
  <c r="E13" i="14" s="1"/>
  <c r="J65" i="9"/>
  <c r="T11" i="20" s="1"/>
  <c r="J56" i="9"/>
  <c r="N11" i="20" s="1"/>
  <c r="J47" i="9"/>
  <c r="H11" i="20" s="1"/>
  <c r="J41" i="9"/>
  <c r="U12" i="19" s="1"/>
  <c r="J43" i="9"/>
  <c r="D11" i="20" s="1"/>
  <c r="J83" i="9"/>
  <c r="M14" i="12" s="1"/>
  <c r="J68" i="9"/>
  <c r="R12" i="20" s="1"/>
  <c r="J95" i="9"/>
  <c r="E18" i="13" s="1"/>
  <c r="J37" i="9"/>
  <c r="V11" i="19" s="1"/>
  <c r="J93" i="9"/>
  <c r="E16" i="13" s="1"/>
  <c r="J73" i="9"/>
  <c r="D14" i="12" s="1"/>
  <c r="J66" i="9"/>
  <c r="U11" i="20" s="1"/>
  <c r="J49" i="9"/>
  <c r="E12" i="20" s="1"/>
  <c r="J80" i="9"/>
  <c r="F19" i="12" s="1"/>
  <c r="J61" i="9"/>
  <c r="N12" i="20" s="1"/>
  <c r="J55" i="9"/>
  <c r="M11" i="20" s="1"/>
  <c r="J79" i="9"/>
  <c r="F18" i="12" s="1"/>
  <c r="J94" i="9"/>
  <c r="E17" i="13" s="1"/>
  <c r="J51" i="9"/>
  <c r="G12" i="20" s="1"/>
  <c r="J91" i="9"/>
  <c r="O18" i="12" s="1"/>
  <c r="J78" i="9"/>
  <c r="D18" i="12" s="1"/>
  <c r="J20" i="9"/>
  <c r="F12" i="19" s="1"/>
  <c r="J46" i="9"/>
  <c r="G11" i="20" s="1"/>
  <c r="J84" i="9"/>
  <c r="N14" i="12" s="1"/>
  <c r="J13" i="9"/>
  <c r="D11" i="19" s="1"/>
  <c r="J74" i="9"/>
  <c r="E14" i="12" s="1"/>
  <c r="J72" i="9"/>
  <c r="V12" i="20" s="1"/>
  <c r="J11" i="9"/>
  <c r="D13" i="8" s="1"/>
  <c r="J28" i="9"/>
  <c r="K12" i="19" s="1"/>
  <c r="J50" i="9"/>
  <c r="F12" i="20" s="1"/>
  <c r="J100" i="9"/>
  <c r="D10" i="21" s="1"/>
  <c r="J103" i="9"/>
  <c r="D12" i="15" s="1"/>
  <c r="J85" i="9"/>
  <c r="O14" i="12" s="1"/>
  <c r="J59" i="9"/>
  <c r="L12" i="20" s="1"/>
  <c r="J19" i="9"/>
  <c r="E12" i="19" s="1"/>
  <c r="J86" i="9"/>
  <c r="M16" i="12" s="1"/>
  <c r="J36" i="9"/>
  <c r="U11" i="19" s="1"/>
  <c r="J54" i="9"/>
  <c r="L11" i="20" s="1"/>
  <c r="J14" i="9"/>
  <c r="E11" i="19" s="1"/>
  <c r="J38" i="9"/>
  <c r="R12" i="19" s="1"/>
  <c r="J42" i="9"/>
  <c r="V12" i="19" s="1"/>
  <c r="J23" i="9"/>
  <c r="K11" i="19" s="1"/>
  <c r="J58" i="9"/>
  <c r="K12" i="20" s="1"/>
  <c r="J22" i="9"/>
  <c r="H12" i="19" s="1"/>
  <c r="F25" i="5" l="1"/>
  <c r="F54" i="5" s="1"/>
  <c r="F59" i="5" l="1"/>
  <c r="F63" i="5" s="1"/>
  <c r="G81" i="5" s="1"/>
  <c r="F67" i="5" l="1"/>
  <c r="F68" i="5" l="1"/>
  <c r="G57" i="5" s="1"/>
  <c r="G74" i="5" s="1"/>
  <c r="G77" i="5" s="1"/>
  <c r="G79" i="5" s="1"/>
  <c r="G84" i="5" l="1"/>
  <c r="G80" i="5"/>
  <c r="G82" i="5" l="1"/>
  <c r="G88" i="5"/>
  <c r="G85" i="5"/>
  <c r="K7" i="9" l="1"/>
  <c r="K6" i="9"/>
  <c r="D11" i="2" s="1"/>
  <c r="G62" i="5"/>
  <c r="H73" i="5"/>
  <c r="G61" i="5"/>
  <c r="E47" i="18"/>
  <c r="K67" i="9"/>
  <c r="V14" i="20" s="1"/>
  <c r="K45" i="9"/>
  <c r="F14" i="20" s="1"/>
  <c r="K87" i="9"/>
  <c r="N23" i="12" s="1"/>
  <c r="K47" i="9"/>
  <c r="H14" i="20" s="1"/>
  <c r="K21" i="9"/>
  <c r="G15" i="19" s="1"/>
  <c r="K66" i="9"/>
  <c r="U14" i="20" s="1"/>
  <c r="K65" i="9"/>
  <c r="T14" i="20" s="1"/>
  <c r="D14" i="21"/>
  <c r="K39" i="9"/>
  <c r="S15" i="19" s="1"/>
  <c r="K29" i="9"/>
  <c r="L15" i="19" s="1"/>
  <c r="K58" i="9"/>
  <c r="K15" i="20" s="1"/>
  <c r="K27" i="9"/>
  <c r="O14" i="19" s="1"/>
  <c r="K18" i="9"/>
  <c r="D15" i="19" s="1"/>
  <c r="K46" i="9"/>
  <c r="G14" i="20" s="1"/>
  <c r="K60" i="9"/>
  <c r="M15" i="20" s="1"/>
  <c r="D13" i="21"/>
  <c r="K14" i="9"/>
  <c r="E14" i="19" s="1"/>
  <c r="K103" i="9"/>
  <c r="D16" i="15" s="1"/>
  <c r="K62" i="9"/>
  <c r="O15" i="20" s="1"/>
  <c r="K30" i="9"/>
  <c r="M15" i="19" s="1"/>
  <c r="K55" i="9"/>
  <c r="M14" i="20" s="1"/>
  <c r="K73" i="9"/>
  <c r="D21" i="12" s="1"/>
  <c r="K82" i="9"/>
  <c r="I24" i="12" s="1"/>
  <c r="K70" i="9"/>
  <c r="T15" i="20" s="1"/>
  <c r="K42" i="9"/>
  <c r="V15" i="19" s="1"/>
  <c r="K12" i="9"/>
  <c r="D11" i="7" s="1"/>
  <c r="K91" i="9"/>
  <c r="O25" i="12" s="1"/>
  <c r="K48" i="9"/>
  <c r="D15" i="20" s="1"/>
  <c r="K59" i="9"/>
  <c r="L15" i="20" s="1"/>
  <c r="K44" i="9"/>
  <c r="E14" i="20" s="1"/>
  <c r="K97" i="9"/>
  <c r="E15" i="14" s="1"/>
  <c r="K79" i="9"/>
  <c r="F25" i="12" s="1"/>
  <c r="K17" i="9"/>
  <c r="H14" i="19" s="1"/>
  <c r="K85" i="9"/>
  <c r="O21" i="12" s="1"/>
  <c r="K98" i="9"/>
  <c r="E16" i="14" s="1"/>
  <c r="K32" i="9"/>
  <c r="O15" i="19" s="1"/>
  <c r="K23" i="9"/>
  <c r="K14" i="19" s="1"/>
  <c r="K104" i="9"/>
  <c r="G15" i="15" s="1"/>
  <c r="K75" i="9"/>
  <c r="D23" i="12" s="1"/>
  <c r="K93" i="9"/>
  <c r="E23" i="13" s="1"/>
  <c r="K26" i="9"/>
  <c r="N14" i="19" s="1"/>
  <c r="F13" i="6"/>
  <c r="K69" i="9"/>
  <c r="S15" i="20" s="1"/>
  <c r="K11" i="9"/>
  <c r="D17" i="8" s="1"/>
  <c r="K96" i="9"/>
  <c r="E26" i="13" s="1"/>
  <c r="K8" i="9"/>
  <c r="F14" i="6" s="1"/>
  <c r="K74" i="9"/>
  <c r="E21" i="12" s="1"/>
  <c r="K51" i="9"/>
  <c r="G15" i="20" s="1"/>
  <c r="K90" i="9"/>
  <c r="N25" i="12" s="1"/>
  <c r="K81" i="9"/>
  <c r="I21" i="12" s="1"/>
  <c r="K33" i="9"/>
  <c r="R14" i="19" s="1"/>
  <c r="K95" i="9"/>
  <c r="E25" i="13" s="1"/>
  <c r="K31" i="9"/>
  <c r="N15" i="19" s="1"/>
  <c r="K77" i="9"/>
  <c r="F24" i="12" s="1"/>
  <c r="K49" i="9"/>
  <c r="E15" i="20" s="1"/>
  <c r="K20" i="9"/>
  <c r="F15" i="19" s="1"/>
  <c r="K76" i="9"/>
  <c r="F23" i="12" s="1"/>
  <c r="K86" i="9"/>
  <c r="M23" i="12" s="1"/>
  <c r="K43" i="9"/>
  <c r="D14" i="20" s="1"/>
  <c r="K99" i="9"/>
  <c r="E17" i="14" s="1"/>
  <c r="K53" i="9"/>
  <c r="K14" i="20" s="1"/>
  <c r="K37" i="9"/>
  <c r="V14" i="19" s="1"/>
  <c r="K41" i="9"/>
  <c r="U15" i="19" s="1"/>
  <c r="K16" i="9"/>
  <c r="G14" i="19" s="1"/>
  <c r="K28" i="9"/>
  <c r="K15" i="19" s="1"/>
  <c r="K50" i="9"/>
  <c r="F15" i="20" s="1"/>
  <c r="K19" i="9"/>
  <c r="E15" i="19" s="1"/>
  <c r="K22" i="9"/>
  <c r="H15" i="19" s="1"/>
  <c r="K52" i="9"/>
  <c r="H15" i="20" s="1"/>
  <c r="K35" i="9"/>
  <c r="T14" i="19" s="1"/>
  <c r="K57" i="9"/>
  <c r="O14" i="20" s="1"/>
  <c r="K72" i="9"/>
  <c r="V15" i="20" s="1"/>
  <c r="K88" i="9"/>
  <c r="O23" i="12" s="1"/>
  <c r="K38" i="9"/>
  <c r="R15" i="19" s="1"/>
  <c r="K13" i="9"/>
  <c r="D14" i="19" s="1"/>
  <c r="K83" i="9"/>
  <c r="M21" i="12" s="1"/>
  <c r="K15" i="9"/>
  <c r="F14" i="19" s="1"/>
  <c r="K105" i="9"/>
  <c r="G16" i="15" s="1"/>
  <c r="K24" i="9"/>
  <c r="L14" i="19" s="1"/>
  <c r="K25" i="9"/>
  <c r="M14" i="19" s="1"/>
  <c r="K71" i="9"/>
  <c r="U15" i="20" s="1"/>
  <c r="K80" i="9"/>
  <c r="F26" i="12" s="1"/>
  <c r="K94" i="9"/>
  <c r="E24" i="13" s="1"/>
  <c r="K61" i="9"/>
  <c r="N15" i="20" s="1"/>
  <c r="K84" i="9"/>
  <c r="N21" i="12" s="1"/>
  <c r="K34" i="9"/>
  <c r="S14" i="19" s="1"/>
  <c r="K92" i="9"/>
  <c r="D21" i="13" s="1"/>
  <c r="K89" i="9"/>
  <c r="M25" i="12" s="1"/>
  <c r="K78" i="9"/>
  <c r="D25" i="12" s="1"/>
  <c r="K63" i="9"/>
  <c r="R14" i="20" s="1"/>
  <c r="K40" i="9"/>
  <c r="T15" i="19" s="1"/>
  <c r="K36" i="9"/>
  <c r="U14" i="19" s="1"/>
  <c r="K102" i="9"/>
  <c r="D15" i="15" s="1"/>
  <c r="K64" i="9"/>
  <c r="S14" i="20" s="1"/>
  <c r="K68" i="9"/>
  <c r="R15" i="20" s="1"/>
  <c r="K56" i="9"/>
  <c r="N14" i="20" s="1"/>
  <c r="K54" i="9"/>
  <c r="L14" i="20" s="1"/>
  <c r="G63" i="5" l="1"/>
  <c r="H81" i="5" s="1"/>
  <c r="G58" i="5"/>
  <c r="G67" i="5" s="1"/>
  <c r="G68" i="5" l="1"/>
  <c r="H57" i="5" s="1"/>
  <c r="H74" i="5" l="1"/>
  <c r="H77" i="5" s="1"/>
  <c r="H79" i="5" l="1"/>
  <c r="H84" i="5" s="1"/>
  <c r="H80" i="5"/>
  <c r="H85" i="5" l="1"/>
  <c r="H88" i="5"/>
  <c r="H82" i="5"/>
  <c r="L71" i="9" l="1"/>
  <c r="U18" i="20" s="1"/>
  <c r="L46" i="9"/>
  <c r="G17" i="20" s="1"/>
  <c r="L42" i="9"/>
  <c r="V18" i="19" s="1"/>
  <c r="L44" i="9"/>
  <c r="E17" i="20" s="1"/>
  <c r="L100" i="9"/>
  <c r="D16" i="21" s="1"/>
  <c r="L51" i="9"/>
  <c r="G18" i="20" s="1"/>
  <c r="L41" i="9"/>
  <c r="U18" i="19" s="1"/>
  <c r="L97" i="9"/>
  <c r="E19" i="14" s="1"/>
  <c r="L90" i="9"/>
  <c r="N32" i="12" s="1"/>
  <c r="L43" i="9"/>
  <c r="D17" i="20" s="1"/>
  <c r="L86" i="9"/>
  <c r="M30" i="12" s="1"/>
  <c r="L26" i="9"/>
  <c r="N17" i="19" s="1"/>
  <c r="L79" i="9"/>
  <c r="F32" i="12" s="1"/>
  <c r="L66" i="9"/>
  <c r="U17" i="20" s="1"/>
  <c r="L22" i="9"/>
  <c r="H18" i="19" s="1"/>
  <c r="L11" i="9"/>
  <c r="D21" i="8" s="1"/>
  <c r="L75" i="9"/>
  <c r="D30" i="12" s="1"/>
  <c r="L85" i="9"/>
  <c r="O28" i="12" s="1"/>
  <c r="L92" i="9"/>
  <c r="D28" i="13" s="1"/>
  <c r="L105" i="9"/>
  <c r="G20" i="15" s="1"/>
  <c r="L45" i="9"/>
  <c r="F17" i="20" s="1"/>
  <c r="L19" i="9"/>
  <c r="E18" i="19" s="1"/>
  <c r="L55" i="9"/>
  <c r="M17" i="20" s="1"/>
  <c r="L102" i="9"/>
  <c r="D19" i="15" s="1"/>
  <c r="L31" i="9"/>
  <c r="N18" i="19" s="1"/>
  <c r="L7" i="9"/>
  <c r="F16" i="6" s="1"/>
  <c r="L104" i="9"/>
  <c r="G19" i="15" s="1"/>
  <c r="L103" i="9"/>
  <c r="D20" i="15" s="1"/>
  <c r="L95" i="9"/>
  <c r="E32" i="13" s="1"/>
  <c r="L33" i="9"/>
  <c r="R17" i="19" s="1"/>
  <c r="L17" i="9"/>
  <c r="H17" i="19" s="1"/>
  <c r="L91" i="9"/>
  <c r="O32" i="12" s="1"/>
  <c r="L21" i="9"/>
  <c r="G18" i="19" s="1"/>
  <c r="L68" i="9"/>
  <c r="R18" i="20" s="1"/>
  <c r="L77" i="9"/>
  <c r="F31" i="12" s="1"/>
  <c r="L88" i="9"/>
  <c r="O30" i="12" s="1"/>
  <c r="L80" i="9"/>
  <c r="F33" i="12" s="1"/>
  <c r="L34" i="9"/>
  <c r="S17" i="19" s="1"/>
  <c r="L62" i="9"/>
  <c r="O18" i="20" s="1"/>
  <c r="L32" i="9"/>
  <c r="O18" i="19" s="1"/>
  <c r="L37" i="9"/>
  <c r="V17" i="19" s="1"/>
  <c r="L73" i="9"/>
  <c r="D28" i="12" s="1"/>
  <c r="L13" i="9"/>
  <c r="D17" i="19" s="1"/>
  <c r="L30" i="9"/>
  <c r="M18" i="19" s="1"/>
  <c r="L61" i="9"/>
  <c r="N18" i="20" s="1"/>
  <c r="L50" i="9"/>
  <c r="F18" i="20" s="1"/>
  <c r="L12" i="9"/>
  <c r="D13" i="7" s="1"/>
  <c r="L101" i="9"/>
  <c r="D17" i="21" s="1"/>
  <c r="L20" i="9"/>
  <c r="F18" i="19" s="1"/>
  <c r="L81" i="9"/>
  <c r="I28" i="12" s="1"/>
  <c r="L25" i="9"/>
  <c r="M17" i="19" s="1"/>
  <c r="L40" i="9"/>
  <c r="T18" i="19" s="1"/>
  <c r="L39" i="9"/>
  <c r="S18" i="19" s="1"/>
  <c r="L63" i="9"/>
  <c r="R17" i="20" s="1"/>
  <c r="L15" i="9"/>
  <c r="F17" i="19" s="1"/>
  <c r="L74" i="9"/>
  <c r="E28" i="12" s="1"/>
  <c r="L57" i="9"/>
  <c r="O17" i="20" s="1"/>
  <c r="L69" i="9"/>
  <c r="S18" i="20" s="1"/>
  <c r="L93" i="9"/>
  <c r="E30" i="13" s="1"/>
  <c r="L83" i="9"/>
  <c r="M28" i="12" s="1"/>
  <c r="L76" i="9"/>
  <c r="F30" i="12" s="1"/>
  <c r="L67" i="9"/>
  <c r="V17" i="20" s="1"/>
  <c r="L36" i="9"/>
  <c r="U17" i="19" s="1"/>
  <c r="L18" i="9"/>
  <c r="D18" i="19" s="1"/>
  <c r="L16" i="9"/>
  <c r="G17" i="19" s="1"/>
  <c r="L29" i="9"/>
  <c r="L18" i="19" s="1"/>
  <c r="L56" i="9"/>
  <c r="N17" i="20" s="1"/>
  <c r="L35" i="9"/>
  <c r="T17" i="19" s="1"/>
  <c r="L96" i="9"/>
  <c r="E33" i="13" s="1"/>
  <c r="L84" i="9"/>
  <c r="N28" i="12" s="1"/>
  <c r="L28" i="9"/>
  <c r="K18" i="19" s="1"/>
  <c r="L24" i="9"/>
  <c r="L17" i="19" s="1"/>
  <c r="L72" i="9"/>
  <c r="V18" i="20" s="1"/>
  <c r="L27" i="9"/>
  <c r="O17" i="19" s="1"/>
  <c r="L47" i="9"/>
  <c r="H17" i="20" s="1"/>
  <c r="L78" i="9"/>
  <c r="D32" i="12" s="1"/>
  <c r="L99" i="9"/>
  <c r="E21" i="14" s="1"/>
  <c r="L53" i="9"/>
  <c r="K17" i="20" s="1"/>
  <c r="L14" i="9"/>
  <c r="E17" i="19" s="1"/>
  <c r="L48" i="9"/>
  <c r="D18" i="20" s="1"/>
  <c r="L60" i="9"/>
  <c r="M18" i="20" s="1"/>
  <c r="L98" i="9"/>
  <c r="E20" i="14" s="1"/>
  <c r="L65" i="9"/>
  <c r="T17" i="20" s="1"/>
  <c r="L49" i="9"/>
  <c r="E18" i="20" s="1"/>
  <c r="L82" i="9"/>
  <c r="I31" i="12" s="1"/>
  <c r="L8" i="9"/>
  <c r="F17" i="6" s="1"/>
  <c r="L6" i="9"/>
  <c r="D13" i="2" s="1"/>
  <c r="L59" i="9"/>
  <c r="L18" i="20" s="1"/>
  <c r="L23" i="9"/>
  <c r="K17" i="19" s="1"/>
  <c r="L89" i="9"/>
  <c r="M32" i="12" s="1"/>
  <c r="L64" i="9"/>
  <c r="S17" i="20" s="1"/>
  <c r="L54" i="9"/>
  <c r="L17" i="20" s="1"/>
  <c r="L70" i="9"/>
  <c r="T18" i="20" s="1"/>
  <c r="L58" i="9"/>
  <c r="K18" i="20" s="1"/>
  <c r="L94" i="9"/>
  <c r="E31" i="13" s="1"/>
  <c r="L52" i="9"/>
  <c r="H18" i="20" s="1"/>
  <c r="L87" i="9"/>
  <c r="N30" i="12" s="1"/>
  <c r="L38" i="9"/>
  <c r="R18" i="19" s="1"/>
  <c r="F47" i="18"/>
  <c r="H62" i="5"/>
  <c r="H61" i="5"/>
  <c r="H63" i="5" l="1"/>
  <c r="H58" i="5"/>
  <c r="H67" i="5" s="1"/>
  <c r="H68" i="5" l="1"/>
  <c r="I57"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tc={71D5094B-ADAE-4231-BA46-2B8FE73BB929}</author>
  </authors>
  <commentList>
    <comment ref="C22" authorId="0" shapeId="0" xr:uid="{71D5094B-ADAE-4231-BA46-2B8FE73BB92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Pour 2022, 100% au CRCP</t>
      </text>
    </comment>
  </commentList>
</comments>
</file>

<file path=xl/sharedStrings.xml><?xml version="1.0" encoding="utf-8"?>
<sst xmlns="http://schemas.openxmlformats.org/spreadsheetml/2006/main" count="946" uniqueCount="362">
  <si>
    <t>NE PAS MODIFIER LES CELLULES DANS CET ONGLET</t>
  </si>
  <si>
    <t>NOTICE</t>
  </si>
  <si>
    <t>Onglet</t>
  </si>
  <si>
    <t>Contenu / Fonction de l'onglet</t>
  </si>
  <si>
    <t>Equilibre prévisionnel</t>
  </si>
  <si>
    <t>NE PAS SAISIR DANS CET ONGLET</t>
  </si>
  <si>
    <t>IPC</t>
  </si>
  <si>
    <t>saisir données dans 
les cellules en vert</t>
  </si>
  <si>
    <t>Montants réalisés</t>
  </si>
  <si>
    <t>CRCP &amp; évolutions</t>
  </si>
  <si>
    <r>
      <t xml:space="preserve">NE PAS SAISIR DANS CET ONGLET, 
</t>
    </r>
    <r>
      <rPr>
        <b/>
        <sz val="10"/>
        <color rgb="FFC00000"/>
        <rFont val="Franklin Gothic Book"/>
        <family val="2"/>
      </rPr>
      <t>sauf choix de l'année (cellule E2)</t>
    </r>
  </si>
  <si>
    <t>Grille tarifaire</t>
  </si>
  <si>
    <r>
      <t xml:space="preserve">NE PAS SAISIR DANS CET ONGLET 
</t>
    </r>
    <r>
      <rPr>
        <b/>
        <sz val="10"/>
        <color rgb="FFC00000"/>
        <rFont val="Franklin Gothic Book"/>
        <family val="2"/>
      </rPr>
      <t/>
    </r>
  </si>
  <si>
    <t>CG</t>
  </si>
  <si>
    <r>
      <rPr>
        <b/>
        <sz val="11"/>
        <rFont val="Franklin Gothic Book"/>
        <family val="2"/>
      </rPr>
      <t>RESULTATS</t>
    </r>
    <r>
      <rPr>
        <sz val="11"/>
        <rFont val="Franklin Gothic Book"/>
        <family val="2"/>
      </rPr>
      <t xml:space="preserve"> : composante annuelle de gestion (CG) du 1er août </t>
    </r>
    <r>
      <rPr>
        <i/>
        <sz val="11"/>
        <rFont val="Franklin Gothic Book"/>
        <family val="2"/>
      </rPr>
      <t>N</t>
    </r>
    <r>
      <rPr>
        <sz val="11"/>
        <rFont val="Franklin Gothic Book"/>
        <family val="2"/>
      </rPr>
      <t xml:space="preserve"> au 31 juillet </t>
    </r>
    <r>
      <rPr>
        <i/>
        <sz val="11"/>
        <rFont val="Franklin Gothic Book"/>
        <family val="2"/>
      </rPr>
      <t>N+1</t>
    </r>
    <r>
      <rPr>
        <sz val="11"/>
        <rFont val="Franklin Gothic Book"/>
        <family val="2"/>
      </rPr>
      <t xml:space="preserve"> </t>
    </r>
  </si>
  <si>
    <t>CC</t>
  </si>
  <si>
    <r>
      <rPr>
        <b/>
        <sz val="11"/>
        <rFont val="Franklin Gothic Book"/>
        <family val="2"/>
      </rPr>
      <t>RESULTATS</t>
    </r>
    <r>
      <rPr>
        <sz val="11"/>
        <rFont val="Franklin Gothic Book"/>
        <family val="2"/>
      </rPr>
      <t xml:space="preserve"> : composante annuelle de comptage (CC) du 1er août </t>
    </r>
    <r>
      <rPr>
        <i/>
        <sz val="11"/>
        <rFont val="Franklin Gothic Book"/>
        <family val="2"/>
      </rPr>
      <t>N</t>
    </r>
    <r>
      <rPr>
        <sz val="11"/>
        <rFont val="Franklin Gothic Book"/>
        <family val="2"/>
      </rPr>
      <t xml:space="preserve"> au 31 juillet </t>
    </r>
    <r>
      <rPr>
        <i/>
        <sz val="11"/>
        <rFont val="Franklin Gothic Book"/>
        <family val="2"/>
      </rPr>
      <t>N+1</t>
    </r>
    <r>
      <rPr>
        <sz val="11"/>
        <rFont val="Franklin Gothic Book"/>
        <family val="2"/>
      </rPr>
      <t xml:space="preserve"> </t>
    </r>
  </si>
  <si>
    <t>CI</t>
  </si>
  <si>
    <r>
      <rPr>
        <b/>
        <sz val="11"/>
        <rFont val="Franklin Gothic Book"/>
        <family val="2"/>
      </rPr>
      <t>RESULTATS</t>
    </r>
    <r>
      <rPr>
        <sz val="11"/>
        <rFont val="Franklin Gothic Book"/>
        <family val="2"/>
      </rPr>
      <t xml:space="preserve"> : composante annuelle d'injections (CI) du 1er août </t>
    </r>
    <r>
      <rPr>
        <i/>
        <sz val="11"/>
        <rFont val="Franklin Gothic Book"/>
        <family val="2"/>
      </rPr>
      <t>N</t>
    </r>
    <r>
      <rPr>
        <sz val="11"/>
        <rFont val="Franklin Gothic Book"/>
        <family val="2"/>
      </rPr>
      <t xml:space="preserve"> au 31 juillet </t>
    </r>
    <r>
      <rPr>
        <i/>
        <sz val="11"/>
        <rFont val="Franklin Gothic Book"/>
        <family val="2"/>
      </rPr>
      <t>N+1</t>
    </r>
    <r>
      <rPr>
        <sz val="11"/>
        <rFont val="Franklin Gothic Book"/>
        <family val="2"/>
      </rPr>
      <t xml:space="preserve"> </t>
    </r>
  </si>
  <si>
    <t>CS - HTB</t>
  </si>
  <si>
    <r>
      <rPr>
        <b/>
        <sz val="11"/>
        <rFont val="Franklin Gothic Book"/>
        <family val="2"/>
      </rPr>
      <t xml:space="preserve">RESULTATS : </t>
    </r>
    <r>
      <rPr>
        <sz val="11"/>
        <rFont val="Franklin Gothic Book"/>
        <family val="2"/>
      </rPr>
      <t xml:space="preserve"> composantes annuelles de soutirage (CS) pour les domaines de tension HTB 3 du 1er août </t>
    </r>
    <r>
      <rPr>
        <i/>
        <sz val="11"/>
        <rFont val="Franklin Gothic Book"/>
        <family val="2"/>
      </rPr>
      <t>N</t>
    </r>
    <r>
      <rPr>
        <sz val="11"/>
        <rFont val="Franklin Gothic Book"/>
        <family val="2"/>
      </rPr>
      <t xml:space="preserve"> au 31 juillet </t>
    </r>
    <r>
      <rPr>
        <i/>
        <sz val="11"/>
        <rFont val="Franklin Gothic Book"/>
        <family val="2"/>
      </rPr>
      <t>N+1</t>
    </r>
    <r>
      <rPr>
        <sz val="11"/>
        <rFont val="Franklin Gothic Book"/>
        <family val="2"/>
      </rPr>
      <t/>
    </r>
  </si>
  <si>
    <t>CS et CMDPS - HTB 2</t>
  </si>
  <si>
    <r>
      <rPr>
        <b/>
        <sz val="11"/>
        <rFont val="Franklin Gothic Book"/>
        <family val="2"/>
      </rPr>
      <t>RESULTATS</t>
    </r>
    <r>
      <rPr>
        <sz val="11"/>
        <rFont val="Franklin Gothic Book"/>
        <family val="2"/>
      </rPr>
      <t xml:space="preserve"> :  composantes annuelles de soutirage (CS) et composantes mensuelles des dépassements de puissance souscrite (CMDPS) pour les domaines de tension HTB 2 du 1er août N au 31 juillet N+1</t>
    </r>
  </si>
  <si>
    <t>CS et CMDPS - HTB 1</t>
  </si>
  <si>
    <r>
      <rPr>
        <b/>
        <sz val="11"/>
        <rFont val="Franklin Gothic Book"/>
        <family val="2"/>
      </rPr>
      <t>RESULTATS</t>
    </r>
    <r>
      <rPr>
        <sz val="11"/>
        <rFont val="Franklin Gothic Book"/>
        <family val="2"/>
      </rPr>
      <t xml:space="preserve"> :  composantes annuelles de soutirage (CS) et composantes mensuelles des dépassements de puissance souscrite (CMDPS) pour les domaines de tension HTB 1 du 1er août N au 31 juillet N+1</t>
    </r>
  </si>
  <si>
    <t>CACS</t>
  </si>
  <si>
    <r>
      <rPr>
        <b/>
        <sz val="11"/>
        <rFont val="Franklin Gothic Book"/>
        <family val="2"/>
      </rPr>
      <t xml:space="preserve">RESULTATS : </t>
    </r>
    <r>
      <rPr>
        <sz val="11"/>
        <rFont val="Franklin Gothic Book"/>
        <family val="2"/>
      </rPr>
      <t xml:space="preserve"> composante annuelle des alimentations complémentaires et de secours (CACS) du 1er août </t>
    </r>
    <r>
      <rPr>
        <i/>
        <sz val="11"/>
        <rFont val="Franklin Gothic Book"/>
        <family val="2"/>
      </rPr>
      <t>N</t>
    </r>
    <r>
      <rPr>
        <sz val="11"/>
        <rFont val="Franklin Gothic Book"/>
        <family val="2"/>
      </rPr>
      <t xml:space="preserve"> au 31 juillet </t>
    </r>
    <r>
      <rPr>
        <i/>
        <sz val="11"/>
        <rFont val="Franklin Gothic Book"/>
        <family val="2"/>
      </rPr>
      <t>N+1</t>
    </r>
    <r>
      <rPr>
        <sz val="11"/>
        <rFont val="Franklin Gothic Book"/>
        <family val="2"/>
      </rPr>
      <t/>
    </r>
  </si>
  <si>
    <t>CR</t>
  </si>
  <si>
    <r>
      <rPr>
        <b/>
        <sz val="11"/>
        <rFont val="Franklin Gothic Book"/>
        <family val="2"/>
      </rPr>
      <t xml:space="preserve">RESULTATS : </t>
    </r>
    <r>
      <rPr>
        <sz val="11"/>
        <rFont val="Franklin Gothic Book"/>
        <family val="2"/>
      </rPr>
      <t xml:space="preserve"> composante annuelle de regroupement (CR) du 1er août </t>
    </r>
    <r>
      <rPr>
        <i/>
        <sz val="11"/>
        <rFont val="Franklin Gothic Book"/>
        <family val="2"/>
      </rPr>
      <t>N</t>
    </r>
    <r>
      <rPr>
        <sz val="11"/>
        <rFont val="Franklin Gothic Book"/>
        <family val="2"/>
      </rPr>
      <t xml:space="preserve"> au 31 juillet </t>
    </r>
    <r>
      <rPr>
        <i/>
        <sz val="11"/>
        <rFont val="Franklin Gothic Book"/>
        <family val="2"/>
      </rPr>
      <t>N+1</t>
    </r>
    <r>
      <rPr>
        <sz val="11"/>
        <rFont val="Franklin Gothic Book"/>
        <family val="2"/>
      </rPr>
      <t xml:space="preserve"> </t>
    </r>
  </si>
  <si>
    <t>CT</t>
  </si>
  <si>
    <r>
      <rPr>
        <b/>
        <sz val="11"/>
        <rFont val="Franklin Gothic Book"/>
        <family val="2"/>
      </rPr>
      <t xml:space="preserve">RESULTATS : </t>
    </r>
    <r>
      <rPr>
        <sz val="11"/>
        <rFont val="Franklin Gothic Book"/>
        <family val="2"/>
      </rPr>
      <t xml:space="preserve"> composante annuelle d'utilisation des ouvrages de transformation (CT) du 1er août </t>
    </r>
    <r>
      <rPr>
        <i/>
        <sz val="11"/>
        <rFont val="Franklin Gothic Book"/>
        <family val="2"/>
      </rPr>
      <t>N</t>
    </r>
    <r>
      <rPr>
        <sz val="11"/>
        <rFont val="Franklin Gothic Book"/>
        <family val="2"/>
      </rPr>
      <t xml:space="preserve"> au 31 juillet </t>
    </r>
    <r>
      <rPr>
        <i/>
        <sz val="11"/>
        <rFont val="Franklin Gothic Book"/>
        <family val="2"/>
      </rPr>
      <t>N+1</t>
    </r>
    <r>
      <rPr>
        <sz val="11"/>
        <rFont val="Franklin Gothic Book"/>
        <family val="2"/>
      </rPr>
      <t xml:space="preserve"> </t>
    </r>
  </si>
  <si>
    <t>CDPP</t>
  </si>
  <si>
    <r>
      <rPr>
        <b/>
        <sz val="11"/>
        <rFont val="Franklin Gothic Book"/>
        <family val="2"/>
      </rPr>
      <t xml:space="preserve">RESULTATS : </t>
    </r>
    <r>
      <rPr>
        <sz val="11"/>
        <rFont val="Franklin Gothic Book"/>
        <family val="2"/>
      </rPr>
      <t xml:space="preserve"> composante annuelle de dépassements ponctuels programmés (CDPP) du 1er août </t>
    </r>
    <r>
      <rPr>
        <i/>
        <sz val="11"/>
        <rFont val="Franklin Gothic Book"/>
        <family val="2"/>
      </rPr>
      <t>N</t>
    </r>
    <r>
      <rPr>
        <sz val="11"/>
        <rFont val="Franklin Gothic Book"/>
        <family val="2"/>
      </rPr>
      <t xml:space="preserve"> au 31 juillet </t>
    </r>
    <r>
      <rPr>
        <i/>
        <sz val="11"/>
        <rFont val="Franklin Gothic Book"/>
        <family val="2"/>
      </rPr>
      <t>N+1</t>
    </r>
    <r>
      <rPr>
        <sz val="11"/>
        <rFont val="Franklin Gothic Book"/>
        <family val="2"/>
      </rPr>
      <t xml:space="preserve"> </t>
    </r>
  </si>
  <si>
    <t>CER</t>
  </si>
  <si>
    <r>
      <rPr>
        <b/>
        <sz val="11"/>
        <rFont val="Franklin Gothic Book"/>
        <family val="2"/>
      </rPr>
      <t xml:space="preserve">RESULTATS : </t>
    </r>
    <r>
      <rPr>
        <sz val="11"/>
        <rFont val="Franklin Gothic Book"/>
        <family val="2"/>
      </rPr>
      <t xml:space="preserve"> composante annuelle de l'énergie réactive (CER) du 1er août </t>
    </r>
    <r>
      <rPr>
        <i/>
        <sz val="11"/>
        <rFont val="Franklin Gothic Book"/>
        <family val="2"/>
      </rPr>
      <t>N</t>
    </r>
    <r>
      <rPr>
        <sz val="11"/>
        <rFont val="Franklin Gothic Book"/>
        <family val="2"/>
      </rPr>
      <t xml:space="preserve"> au 31 juillet </t>
    </r>
    <r>
      <rPr>
        <i/>
        <sz val="11"/>
        <rFont val="Franklin Gothic Book"/>
        <family val="2"/>
      </rPr>
      <t>N+1</t>
    </r>
    <r>
      <rPr>
        <sz val="11"/>
        <rFont val="Franklin Gothic Book"/>
        <family val="2"/>
      </rPr>
      <t xml:space="preserve"> </t>
    </r>
  </si>
  <si>
    <t>Consignes</t>
  </si>
  <si>
    <t>Actions</t>
  </si>
  <si>
    <t>Cellules</t>
  </si>
  <si>
    <r>
      <t xml:space="preserve">CRCP au 31 décembre </t>
    </r>
    <r>
      <rPr>
        <b/>
        <i/>
        <sz val="11"/>
        <rFont val="Franklin Gothic Book"/>
        <family val="2"/>
      </rPr>
      <t>N-1</t>
    </r>
    <r>
      <rPr>
        <b/>
        <sz val="10"/>
        <rFont val="Arial"/>
        <family val="2"/>
      </rPr>
      <t/>
    </r>
  </si>
  <si>
    <r>
      <t xml:space="preserve">1. reporter la valeur de l'indice d'inflation INSEE 1763852 (base 100 en 2015) de l'ensemble des mois de l'année </t>
    </r>
    <r>
      <rPr>
        <i/>
        <sz val="11"/>
        <rFont val="Franklin Gothic Book"/>
        <family val="2"/>
      </rPr>
      <t>N-1</t>
    </r>
  </si>
  <si>
    <t>colonne D</t>
  </si>
  <si>
    <t>colonnes 
D à F</t>
  </si>
  <si>
    <r>
      <t xml:space="preserve">3. sélectionner l'année en cours </t>
    </r>
    <r>
      <rPr>
        <i/>
        <sz val="11"/>
        <rFont val="Franklin Gothic Book"/>
        <family val="2"/>
      </rPr>
      <t>N</t>
    </r>
    <r>
      <rPr>
        <sz val="11"/>
        <rFont val="Franklin Gothic Book"/>
        <family val="2"/>
      </rPr>
      <t xml:space="preserve"> dans la liste déroulante de la cellule jaune E2</t>
    </r>
  </si>
  <si>
    <t>cellule E2</t>
  </si>
  <si>
    <r>
      <t xml:space="preserve">4. relever les résultats : le solde du CRCP au 1er janvier de l'année </t>
    </r>
    <r>
      <rPr>
        <i/>
        <sz val="11"/>
        <rFont val="Franklin Gothic Book"/>
        <family val="2"/>
      </rPr>
      <t>N</t>
    </r>
    <r>
      <rPr>
        <sz val="11"/>
        <rFont val="Franklin Gothic Book"/>
        <family val="2"/>
      </rPr>
      <t xml:space="preserve">, le coefficient K de l'année </t>
    </r>
    <r>
      <rPr>
        <i/>
        <sz val="11"/>
        <rFont val="Franklin Gothic Book"/>
        <family val="2"/>
      </rPr>
      <t>N</t>
    </r>
    <r>
      <rPr>
        <sz val="11"/>
        <rFont val="Franklin Gothic Book"/>
        <family val="2"/>
      </rPr>
      <t xml:space="preserve"> au 1</t>
    </r>
    <r>
      <rPr>
        <vertAlign val="superscript"/>
        <sz val="11"/>
        <rFont val="Franklin Gothic Book"/>
        <family val="2"/>
      </rPr>
      <t>er</t>
    </r>
    <r>
      <rPr>
        <sz val="11"/>
        <rFont val="Franklin Gothic Book"/>
        <family val="2"/>
      </rPr>
      <t xml:space="preserve"> août </t>
    </r>
    <r>
      <rPr>
        <i/>
        <sz val="11"/>
        <rFont val="Franklin Gothic Book"/>
        <family val="2"/>
      </rPr>
      <t>N</t>
    </r>
  </si>
  <si>
    <t>lignes 44, 62</t>
  </si>
  <si>
    <t>colonnes 
J à L</t>
  </si>
  <si>
    <t>Taux sans risque (Rf)</t>
  </si>
  <si>
    <t>Facteur d'évolution annuel X</t>
  </si>
  <si>
    <t>INFLATION</t>
  </si>
  <si>
    <t xml:space="preserve">Inflation prévisionnelle de l'IPC entre l'année N-1 et l'année N </t>
  </si>
  <si>
    <t>POSTES DU REVENU AUTORISE PREVISIONNEL (en M€ courants)</t>
  </si>
  <si>
    <t>POSTES DE CHARGES</t>
  </si>
  <si>
    <t>Charges de capital totales</t>
  </si>
  <si>
    <t>Charges liées à la compensation des pertes</t>
  </si>
  <si>
    <t>Charges liées au dispositif d'interruptibilité</t>
  </si>
  <si>
    <t>Frais d'études sans suite liés à l'abandon de grands projets d'investissement lorsque celles-ci ont été approuvées par la CRE</t>
  </si>
  <si>
    <t xml:space="preserve">Montants retenus au titre du mécanisme de prise en compte des projets de déploiement industriel des réseaux électriques intelligents </t>
  </si>
  <si>
    <t>SOMME DES POSTES DE CHARGES DU REVENU AUTORISE PREVISIONNEL</t>
  </si>
  <si>
    <t>RECETTES</t>
  </si>
  <si>
    <t>Recettes d'interconnexion</t>
  </si>
  <si>
    <t>Solde éventuel restant sur les fonds pour le règlement du rééquilibrage en capacité des fournisseurs et le fonds pour le règlement des écarts des responsables de périmètre de certification</t>
  </si>
  <si>
    <t>SOMME DES POSTES DE RECETTES DU REVENU AUTORISE PREVISIONNEL</t>
  </si>
  <si>
    <t>INCITATIONS</t>
  </si>
  <si>
    <t>Incitations financières au développement des projets d'interconnexion</t>
  </si>
  <si>
    <t>Incitation à la maîtrise des dépenses d'investissement de projets de développement de réseaux</t>
  </si>
  <si>
    <t>Régulation incitative de la continuité d'alimentation</t>
  </si>
  <si>
    <t>SOMME DES INCITATIONS FINANCIERES DU REVENU AUTORISE PREVISIONNEL</t>
  </si>
  <si>
    <t>CRCP</t>
  </si>
  <si>
    <t>Régulation incitative des dépenses de recherche &amp; développement (R&amp;D)</t>
  </si>
  <si>
    <t xml:space="preserve">REVENU AUTORISE PREVISIONNEL TOTAL </t>
  </si>
  <si>
    <t>RECETTES TARIFAIRES PREVISIONNELLES (en M€ courants)</t>
  </si>
  <si>
    <t>dont recettes prévisionnelles du 1er janvier N au 31 juillet N</t>
  </si>
  <si>
    <t>dont recettes prévisionnelles du 1er août N au 31 décembre N</t>
  </si>
  <si>
    <t>dont abattement électro-intensifs</t>
  </si>
  <si>
    <t>dont recettes d'injection - part énergie</t>
  </si>
  <si>
    <t>RECETTES TARIFAIRES PREVISIONNELLES TOTALES (hors abattement électro-intensifs et hors recettes d'injection - part énergie)</t>
  </si>
  <si>
    <t>RECETTES TARIFAIRES PREVISIONNELLES TOTALES</t>
  </si>
  <si>
    <t xml:space="preserve">Ecart prévisionnel annuel entre les recettes prévisionnelles et le revenu autorisé prévisionnel </t>
  </si>
  <si>
    <t>Recettes prévisionnelles (hors recettes d'injection - part énergie)</t>
  </si>
  <si>
    <t>Recettes prévisionnelles</t>
  </si>
  <si>
    <t xml:space="preserve">Les cellules pré-remplies avec des valeurs en italique de couleur bleue sur fond vert sont à mettre à jour </t>
  </si>
  <si>
    <t xml:space="preserve">Les valeurs définitives sont en couleur noir </t>
  </si>
  <si>
    <t>Les valeurs issues d'un calcul sont sur fond violet</t>
  </si>
  <si>
    <t>Indice des prix à la consommation - Base 2015 - Ensemble des ménages - France - Ensemble hors tabac</t>
  </si>
  <si>
    <t>Inflation constatée</t>
  </si>
  <si>
    <t>001763852
équivalent de l'identifiant 641194 actualisé sur base 2015</t>
  </si>
  <si>
    <r>
      <t xml:space="preserve">Indice moyen année </t>
    </r>
    <r>
      <rPr>
        <i/>
        <sz val="10"/>
        <rFont val="Franklin Gothic Book"/>
        <family val="2"/>
      </rPr>
      <t>N</t>
    </r>
    <r>
      <rPr>
        <sz val="10"/>
        <rFont val="Franklin Gothic Book"/>
        <family val="2"/>
      </rPr>
      <t xml:space="preserve"> 
base 100 en 2015</t>
    </r>
  </si>
  <si>
    <t>Année</t>
  </si>
  <si>
    <t>Mois</t>
  </si>
  <si>
    <t>IPC hors tabac série mensuelle</t>
  </si>
  <si>
    <r>
      <t xml:space="preserve">Evolution de l'IPC entre l'année </t>
    </r>
    <r>
      <rPr>
        <i/>
        <sz val="10"/>
        <rFont val="Franklin Gothic Book"/>
        <family val="2"/>
      </rPr>
      <t>N-1</t>
    </r>
    <r>
      <rPr>
        <sz val="10"/>
        <rFont val="Franklin Gothic Book"/>
        <family val="2"/>
      </rPr>
      <t xml:space="preserve"> et l'année </t>
    </r>
    <r>
      <rPr>
        <i/>
        <sz val="10"/>
        <rFont val="Franklin Gothic Book"/>
        <family val="2"/>
      </rPr>
      <t>N</t>
    </r>
    <r>
      <rPr>
        <sz val="10"/>
        <rFont val="Franklin Gothic Book"/>
        <family val="2"/>
      </rPr>
      <t xml:space="preserve"> (%)</t>
    </r>
  </si>
  <si>
    <t>cumul entre 2015 et l'année N</t>
  </si>
  <si>
    <t>POSTES DU REVENU AUTORISE (montants réalisés en M€ courants)</t>
  </si>
  <si>
    <t>CHARGES</t>
  </si>
  <si>
    <t>Charges liées à la compensation des pertes (charges réalisées + incitations)</t>
  </si>
  <si>
    <t>dont incitations</t>
  </si>
  <si>
    <t>Indemnités versées par RTE aux GRD au titre des coupures longues</t>
  </si>
  <si>
    <t>RECETTES TARIFAIRES  PERCUES PAR RTE (en M€ courants)</t>
  </si>
  <si>
    <t>Recettes tarifaires perçues par RTE</t>
  </si>
  <si>
    <r>
      <rPr>
        <b/>
        <sz val="10"/>
        <color rgb="FFFF0000"/>
        <rFont val="Franklin Gothic Book"/>
        <family val="2"/>
      </rPr>
      <t>NE PAS MODIFIER LES CELLULES DANS CET ONGLET -</t>
    </r>
    <r>
      <rPr>
        <b/>
        <sz val="10"/>
        <color rgb="FFC00000"/>
        <rFont val="Franklin Gothic Book"/>
        <family val="2"/>
      </rPr>
      <t xml:space="preserve"> C</t>
    </r>
    <r>
      <rPr>
        <b/>
        <i/>
        <sz val="10"/>
        <color rgb="FFC00000"/>
        <rFont val="Franklin Gothic Book"/>
        <family val="2"/>
      </rPr>
      <t>hoisir l'année dans la cellule E2</t>
    </r>
  </si>
  <si>
    <r>
      <t xml:space="preserve">Calcul du CRCP au 1er janvier </t>
    </r>
    <r>
      <rPr>
        <b/>
        <i/>
        <sz val="12"/>
        <color rgb="FFFFFFFF"/>
        <rFont val="Franklin Gothic Book"/>
        <family val="2"/>
      </rPr>
      <t>N</t>
    </r>
    <r>
      <rPr>
        <b/>
        <sz val="12"/>
        <color rgb="FFFFFFFF"/>
        <rFont val="Franklin Gothic Book"/>
        <family val="2"/>
      </rPr>
      <t xml:space="preserve"> et de l'évolution annuelle au 1er août </t>
    </r>
    <r>
      <rPr>
        <b/>
        <i/>
        <sz val="12"/>
        <color rgb="FFFFFFFF"/>
        <rFont val="Franklin Gothic Book"/>
        <family val="2"/>
      </rPr>
      <t>N</t>
    </r>
  </si>
  <si>
    <t>Inflation</t>
  </si>
  <si>
    <r>
      <t xml:space="preserve">Revenu autorisé calculé </t>
    </r>
    <r>
      <rPr>
        <i/>
        <sz val="20"/>
        <color rgb="FFFFFFFF"/>
        <rFont val="Franklin Gothic Book"/>
        <family val="2"/>
      </rPr>
      <t>ex post</t>
    </r>
  </si>
  <si>
    <r>
      <t xml:space="preserve">Postes du revenu autorisé calculé </t>
    </r>
    <r>
      <rPr>
        <i/>
        <sz val="12"/>
        <color theme="0"/>
        <rFont val="Franklin Gothic Book"/>
        <family val="2"/>
      </rPr>
      <t>ex post</t>
    </r>
  </si>
  <si>
    <t>Charges</t>
  </si>
  <si>
    <t>Recettes</t>
  </si>
  <si>
    <t xml:space="preserve"> </t>
  </si>
  <si>
    <t>Evolution du solde du CRCP</t>
  </si>
  <si>
    <r>
      <t>Solde du CRCP au 1</t>
    </r>
    <r>
      <rPr>
        <b/>
        <vertAlign val="superscript"/>
        <sz val="11"/>
        <color rgb="FFC00000"/>
        <rFont val="Franklin Gothic Book"/>
        <family val="2"/>
      </rPr>
      <t>er</t>
    </r>
    <r>
      <rPr>
        <b/>
        <sz val="11"/>
        <color rgb="FFC00000"/>
        <rFont val="Franklin Gothic Book"/>
        <family val="2"/>
      </rPr>
      <t xml:space="preserve"> janvier N</t>
    </r>
  </si>
  <si>
    <r>
      <t>Actualisation du solde du CRCP au 1</t>
    </r>
    <r>
      <rPr>
        <vertAlign val="superscript"/>
        <sz val="11"/>
        <rFont val="Franklin Gothic Book"/>
        <family val="2"/>
      </rPr>
      <t>er</t>
    </r>
    <r>
      <rPr>
        <sz val="11"/>
        <rFont val="Franklin Gothic Book"/>
        <family val="2"/>
      </rPr>
      <t xml:space="preserve"> janvier </t>
    </r>
    <r>
      <rPr>
        <i/>
        <sz val="11"/>
        <rFont val="Franklin Gothic Book"/>
        <family val="2"/>
      </rPr>
      <t>N+1</t>
    </r>
  </si>
  <si>
    <t>Evolutions annuelles</t>
  </si>
  <si>
    <t>Calcul de l'évolution tarifaire à réaliser</t>
  </si>
  <si>
    <r>
      <rPr>
        <b/>
        <sz val="10"/>
        <color rgb="FFFF0000"/>
        <rFont val="Franklin Gothic Book"/>
        <family val="2"/>
      </rPr>
      <t>NE PAS MODIFIER LES CELLULES DANS CET ONGLET -</t>
    </r>
    <r>
      <rPr>
        <b/>
        <sz val="10"/>
        <color rgb="FFC00000"/>
        <rFont val="Franklin Gothic Book"/>
        <family val="2"/>
      </rPr>
      <t xml:space="preserve"> </t>
    </r>
  </si>
  <si>
    <t>0 si arrondi au centième
1 si arrondi à 12 c€</t>
  </si>
  <si>
    <t>Coefficents de la grille tarifaire résultant de l'indexation annuelle</t>
  </si>
  <si>
    <t>Arrondi</t>
  </si>
  <si>
    <t>HTB</t>
  </si>
  <si>
    <t>€/an/contrat</t>
  </si>
  <si>
    <t>Hebdomadaire</t>
  </si>
  <si>
    <t>Dispositif de comptage propriété du gestionnaire de réseau public</t>
  </si>
  <si>
    <t>€/an</t>
  </si>
  <si>
    <t>Dispositif de comptage propriété de l'utilisateur</t>
  </si>
  <si>
    <t>HTB 3</t>
  </si>
  <si>
    <t>c€/MWh</t>
  </si>
  <si>
    <t>HTB 2</t>
  </si>
  <si>
    <t>HTB 1</t>
  </si>
  <si>
    <t>c€/kWh</t>
  </si>
  <si>
    <t>Coeffecient pondérateur de puissance</t>
  </si>
  <si>
    <t>HP</t>
  </si>
  <si>
    <t>€/kW/an</t>
  </si>
  <si>
    <t>HPSH</t>
  </si>
  <si>
    <t>HCSH</t>
  </si>
  <si>
    <t>HPSB</t>
  </si>
  <si>
    <t>HCSB</t>
  </si>
  <si>
    <t>Coefficient pondérateur de l'énergie</t>
  </si>
  <si>
    <t>€/cellule/an</t>
  </si>
  <si>
    <t>Liaisons</t>
  </si>
  <si>
    <t>€/km/an</t>
  </si>
  <si>
    <t>Liaisons aériennes</t>
  </si>
  <si>
    <t>Liaisons souterraines</t>
  </si>
  <si>
    <t>€/kVA/an</t>
  </si>
  <si>
    <t>Prime fixe</t>
  </si>
  <si>
    <t>Part énergie</t>
  </si>
  <si>
    <t>α</t>
  </si>
  <si>
    <t>c€/kW</t>
  </si>
  <si>
    <t>k</t>
  </si>
  <si>
    <t>c€/kW/km/an</t>
  </si>
  <si>
    <t>k - liaisons aériennes</t>
  </si>
  <si>
    <t>k - liaisons souterraines</t>
  </si>
  <si>
    <t>HTB 1 ou HTA 2</t>
  </si>
  <si>
    <t>HTA 1</t>
  </si>
  <si>
    <t>c€/kW/an</t>
  </si>
  <si>
    <t>Zone de facturation pour l'énergie réactive absorbée</t>
  </si>
  <si>
    <t>€/Mvar.h</t>
  </si>
  <si>
    <t>Zone de facturation pour l'énergie réactive fournie</t>
  </si>
  <si>
    <t>COMPOSANTE ANNUELLE DE GESTION (CG)</t>
  </si>
  <si>
    <t>Domaine de tension</t>
  </si>
  <si>
    <t>a1 (€/an) / contrat d'accès au réseau</t>
  </si>
  <si>
    <t>COMPOSANTE ANNUELLE DE COMPTAGE (CC)</t>
  </si>
  <si>
    <t>Fréquence minimale de transmission</t>
  </si>
  <si>
    <t>Propriété du dispositif de
 comptage</t>
  </si>
  <si>
    <t>Composante annuelle de comptage (€/an)</t>
  </si>
  <si>
    <t>Gestionnaire de réseaux publics</t>
  </si>
  <si>
    <t>Utilisateur</t>
  </si>
  <si>
    <t>COMPOSANTE ANNUELLE D'INJECTIONS (CI)</t>
  </si>
  <si>
    <t>Composante annuelle d'injections (c€/MWh)</t>
  </si>
  <si>
    <t>COMPOSANTES ANNUELLES DE SOUTIRAGE (CS) POUR LE DOMAINE DE TENSION HTB 3</t>
  </si>
  <si>
    <t>c 
(c€/kWh)</t>
  </si>
  <si>
    <t>COMPOSANTES ANNUELLES DE SOUTIRAGES (CS) ET COMPOSANTES MENSUELLES DES DEPASSEMENTS DE PUISSANCE SOUSCRITES (CMDPS) POUR LE DOMAINE DE TENSION HTB 2</t>
  </si>
  <si>
    <t>HTB 2 - CU</t>
  </si>
  <si>
    <t>Heures de pointe
(i=1)</t>
  </si>
  <si>
    <t>Heures pleines de saison haute 
(i=2)</t>
  </si>
  <si>
    <t>Heures creuses de saison haute
(i=3)</t>
  </si>
  <si>
    <t>Heures pleines de saison basse
(i=4)</t>
  </si>
  <si>
    <t>Heures creuses de saison basse
(i=5)</t>
  </si>
  <si>
    <t>HTB 2 - MU</t>
  </si>
  <si>
    <t>HTB 2 - LU</t>
  </si>
  <si>
    <t>Coefficient pondérateur de puissance
(€/kW/an)</t>
  </si>
  <si>
    <t>Coefficient pondérateur de l'énergie
(c€/kWh)</t>
  </si>
  <si>
    <t>COMPOSANTES ANNUELLES DE SOUTIRAGES (CS) ET COMPOSANTES MENSUELLES DES DEPASSEMENTS DE PUISSANCE SOUSCRITES (CMDPS) POUR LE DOMAINE DE TENSION HTB 1</t>
  </si>
  <si>
    <t>HTB 1 - CU</t>
  </si>
  <si>
    <t>HTB 1 - MU</t>
  </si>
  <si>
    <t>HTB 1 - LU</t>
  </si>
  <si>
    <t>COMPOSANTE ANNUELLE DES ALIMENTATIONS COMPLEMENTAIRES ET DE SECOURS (CACS)</t>
  </si>
  <si>
    <t>Cellules (€/cellule/an)</t>
  </si>
  <si>
    <t>Liaisons (€/km/an)</t>
  </si>
  <si>
    <t>Domaine de tension de l'alimentation</t>
  </si>
  <si>
    <t>€/kW/an ou €/kVA/an</t>
  </si>
  <si>
    <t>Domaine de tension de l'alimentation principale</t>
  </si>
  <si>
    <t>Domaine de tension de l'alimentation de secours</t>
  </si>
  <si>
    <t>Part puissance
(€/kW/an)</t>
  </si>
  <si>
    <t>Part énergie (c€/kWh)</t>
  </si>
  <si>
    <t>α
(c€/kW)</t>
  </si>
  <si>
    <t>COMPOSANTE DE REGROUPEMENT (CR)</t>
  </si>
  <si>
    <t>k (€/km/an)</t>
  </si>
  <si>
    <t>COMPOSANTE ANNUELLE D'UTILISATION DES OUVRAGES DE TRANSFORMATION (CT)</t>
  </si>
  <si>
    <t>Domaine de tension 
du point de connexion</t>
  </si>
  <si>
    <t>Domaine de tension
 de la tarification appliquée</t>
  </si>
  <si>
    <t>k (€/kW/an)</t>
  </si>
  <si>
    <t>COMPOSANTE ANNUELLE DE DEPASSEMENTS PONCTUELS PROGRAMMES (CDPP) POUR LES DOMAINES DE TENSION HTB 2 ET HTB 1</t>
  </si>
  <si>
    <t>α (c€/kW/an)</t>
  </si>
  <si>
    <t>COMPOSANTE ANNUELLE DE L'ENERGIE REACTIVE (CER)</t>
  </si>
  <si>
    <t>Coût unitaire du dépassement</t>
  </si>
  <si>
    <t>du 01/08/2021 
au 31/07/2022</t>
  </si>
  <si>
    <t>du 01/08/2022
au 31/07/2023</t>
  </si>
  <si>
    <t>du 01/08/2023
au 31/07/2024</t>
  </si>
  <si>
    <t>du 01/08/2024 
au 31/07/2025</t>
  </si>
  <si>
    <t>Coefficients de référence de la grille tarifaire pour la composante annuelle de soutirage</t>
  </si>
  <si>
    <t>du 01/08/2022 au 31/07/2023</t>
  </si>
  <si>
    <t>du 01/08/2023 au 31/07/2024</t>
  </si>
  <si>
    <t>du 01/08/2021 au 31/07/2022</t>
  </si>
  <si>
    <t>du 01/08/2024 au 31/07/2025</t>
  </si>
  <si>
    <t>Tableau  36 :
Composante annuelle 
de gestion</t>
  </si>
  <si>
    <t>Tableau 37 :
Composante annuelle de comptage</t>
  </si>
  <si>
    <t>Tableau 38 :
Composante annuelle d'injections</t>
  </si>
  <si>
    <t>Tableau 39 : 
Composante annuelle de soutirage
Domaine de tension HTB 3</t>
  </si>
  <si>
    <t>Tableau 40 :
Composante annuelle de soutirage
Domaine de tension HTB 2
Version courte utilisation</t>
  </si>
  <si>
    <t>Tableau 41 :
Composante annuelle de soutirage
Domaine de tension HTB 2
Version moyenne utilisation</t>
  </si>
  <si>
    <t>Tableau 42 :
Composante annuelle de soutirage
Domaine de tension HTB 2
Version longue utilisation</t>
  </si>
  <si>
    <t>Tableau 43 :
Composante annuelle de soutirage
Domaine de tension HTB 1
Version courte utilisation</t>
  </si>
  <si>
    <t>Tableau 44 :
Composante annuelle de soutirage
Domaine de tension HTB 1
Version moyenne utilisation</t>
  </si>
  <si>
    <t>Tableau 45 :
Composante annuelle de soutirage
Domaine de tension HTB 1
Version longue utilisation</t>
  </si>
  <si>
    <t>Tableau 46 : 
Composante annuelle des alimentations complémentaires</t>
  </si>
  <si>
    <t>Tableau 47 :
Composante annuelle des alimentations de secours
Réservation de puissance</t>
  </si>
  <si>
    <t>Tableau 48 :
Composante annuelle des alimentations de secours
Tarification du réseau public permettant le secours</t>
  </si>
  <si>
    <t>Tableau 49 :
Composante de regroupement</t>
  </si>
  <si>
    <t>Tableau 50 :
Composante annuelle d'utilisation des ouvrages de transformation</t>
  </si>
  <si>
    <t>Tableau 51 :
Composante annuelle de dépassements ponctuels programmés pour les domaines de tension HTB 2 et HTB 1</t>
  </si>
  <si>
    <t>Tableau 53 :
Composante annuelle de l'énergie réactive entre deux gestionnaires de réseaux publics d'électricité</t>
  </si>
  <si>
    <t>Tableau 36 : Composante annuelle de gestion</t>
  </si>
  <si>
    <t>Tableau 37 : Composante annuelle de comptage</t>
  </si>
  <si>
    <t>Tableau 38 : Composante annuelle des injections</t>
  </si>
  <si>
    <t>Tableau 39 : Composante annuelle de soutirage
Domaine de tension HTB 3</t>
  </si>
  <si>
    <t>Tableau 40 : Composante annuelle de soutirage
Domaine de tension HTB 2
Version courte utilisation (CU)</t>
  </si>
  <si>
    <t>Tableau 41 : Composante annuelle de soutirage
Domaine de tension HTB 2
Version moyenne utilisation (MU)</t>
  </si>
  <si>
    <t>Tableau 42 : Composante annuelle de soutirage
Domaine de tension HTB 2
Version longue utilisation (LU)</t>
  </si>
  <si>
    <t>Tableau 43 : Composante annuelle de soutirage
Domaine de tension HTB 1
Version courte utilisation (CU)</t>
  </si>
  <si>
    <t>Tableau 44 : Composante annuelle de soutirage
Domaine de tension HTB 1
Version moyenne utilisation (MU)</t>
  </si>
  <si>
    <t>Tableau 45 : Composante annuelle de soutirage
Domaine de tension HTB 1
Version longue utilisation (LU)</t>
  </si>
  <si>
    <t>Tableau 46 : Alimentations complémentaires</t>
  </si>
  <si>
    <t>Tableau 47 : Alimentations de secours 
Réservation de puissance</t>
  </si>
  <si>
    <t>Tableau 48 : Alimentations de secours 
Tarification du réseau électrique public permettant le secours</t>
  </si>
  <si>
    <t>Tableau 49 : Composante de regroupement</t>
  </si>
  <si>
    <t>Tableau 50 : Composante annuelle d'utilisation des ouvrages de transformation</t>
  </si>
  <si>
    <t>Tableau 51 : Composante annuelle de dépassement ponctuels programmés (CDPP) pour les domaines de tension HTB 2 et HTB 1</t>
  </si>
  <si>
    <t>Tableau 53 - Composante annuelle de l'énergie réactive entre deux gestionnaires de réseaux publics d'électricité</t>
  </si>
  <si>
    <t>Coûts de contractualisation des flexibilités retenues à des fins de gestion des congestions dans le cadre des appels d’offres expérimentaux</t>
  </si>
  <si>
    <t xml:space="preserve">Ecart entre trajectoire prévisionnelle des services système tension et l’éventuelle mise à jour </t>
  </si>
  <si>
    <t>Recettes nettes liées aux contrats d’échanges entre GRT</t>
  </si>
  <si>
    <t>Abattement et pénalités liés au dispositif d’interruptibilité et aux services système tension</t>
  </si>
  <si>
    <t>Abattements, pénalités et indemnités liés aux réserves d’équilibrage</t>
  </si>
  <si>
    <t>Recettes au titre des plus-values réalisées dans le cadre de la cession d’actifs immobiliers ou de terrains</t>
  </si>
  <si>
    <t>Recettes issues d’éventuels versements des gestionnaires de nouvelles interconnexions exemptées</t>
  </si>
  <si>
    <t>Incitations financières au titre de régulations incitatives</t>
  </si>
  <si>
    <t>Incitation à la maîtrise des coûts des projets de réseaux en dehors des grands projets (2.3.2.3)</t>
  </si>
  <si>
    <t>Régulation incitative permettant de soutenir l‘innovation à l’externe (actions prioritaires) (2.5.4)</t>
  </si>
  <si>
    <t>Régulation incitative sur la mise à disposition des données (qualité et délais) (2.5.3)</t>
  </si>
  <si>
    <t>Coûts de congestions nationales + internationales</t>
  </si>
  <si>
    <t>Charges d'exploitation liées à la constitution des réserves d'équilibrage</t>
  </si>
  <si>
    <t>Tableau 52 - Composante annuelle de l'énergie réactive d'électricité</t>
  </si>
  <si>
    <t>Tableau 52 : Composante annuelle de l'énergie réactive d'électricité</t>
  </si>
  <si>
    <t>Zone facturation pour l'énergie réactive absorbée par l'utilisateur</t>
  </si>
  <si>
    <t>Zone facturation pour l'énergie réactive fournie par l'utilisateur</t>
  </si>
  <si>
    <t>Zone de facturation pour l'énergie réactive absorbée par l'utilisateur</t>
  </si>
  <si>
    <t>Zone de facturation pour l'énergie réactive fournie par l'utilisateur</t>
  </si>
  <si>
    <t>Régulation incitative sur le coût unitaire de la gestion des actifs</t>
  </si>
  <si>
    <t>moyenne
2021-2024</t>
  </si>
  <si>
    <t xml:space="preserve">Charges d'exploitation liées à la constitution des réserves d'équilibrage </t>
  </si>
  <si>
    <t xml:space="preserve">Indemnités versées par RTE aux producteurs éoliens en mer </t>
  </si>
  <si>
    <t xml:space="preserve">Ecarts annuels entre recettes prévisionnelles et revenu autorisé prévisionnel </t>
  </si>
  <si>
    <t xml:space="preserve">Frais d'études sans suite liés à l'abandon de grands projets d'investissement lorsque celles-ci ont été approuvées par la CRE </t>
  </si>
  <si>
    <t xml:space="preserve">Coûts de congestions nationales et internationales </t>
  </si>
  <si>
    <t>Recettes d'interconnexion (rentes de congestion et recettes issues du mécanisme de capacité)</t>
  </si>
  <si>
    <t xml:space="preserve">Solde éventuel restant sur le fonds pour le règlement du rééquilibrage en capacité des fournisseurs et le fonds pour le règlement des écarts des responsables de périmètre de certification </t>
  </si>
  <si>
    <t xml:space="preserve">Incitation à la maîtrise des coûts des projets de réseaux en dehors des grands projets </t>
  </si>
  <si>
    <t>Régulation incitative sur la mise à disposition des données (qualité et délais)</t>
  </si>
  <si>
    <t xml:space="preserve">Régulation incitative permettant de soutenir l‘innovation à l’externe (actions prioritaires) </t>
  </si>
  <si>
    <t>Régulation incitative sur les volumes de gestion des actifs</t>
  </si>
  <si>
    <t>Apurement du solde du CRCP prévisionnel du TURPE 5 HTB</t>
  </si>
  <si>
    <t>APUREMENT DU SOLDE DU CRCP DU TURPE 5 HTB</t>
  </si>
  <si>
    <t xml:space="preserve">Les composantes mensuelles des dépassements de puissance souscrite pour les utilisateurs d'un point de connexion situé dans le domaine de tension HTB 2 sont établies chaque mois selon les modalités décrites au 5.2.1.4.4 de la délibération du 21 janvier 2021. </t>
  </si>
  <si>
    <t>Inflation prévisionnelle cumulée entre 2019 et l'année N</t>
  </si>
  <si>
    <t xml:space="preserve">Charges relatives à la compensation des pertes </t>
  </si>
  <si>
    <t xml:space="preserve">Incitation à la maîtrise des dépenses d'investissement des grands projets  de réseaux </t>
  </si>
  <si>
    <t xml:space="preserve">Régulation incitative de la continuité d'alimentation </t>
  </si>
  <si>
    <t xml:space="preserve">Régulation incitative sur la mise à disposition des données (qualité et délais) </t>
  </si>
  <si>
    <t>Régulation incitative permettant de soutenir l‘innovation à l’externe (actions prioritaires)</t>
  </si>
  <si>
    <t>Apurement du solde du CRCP du TURPE 5 HTB</t>
  </si>
  <si>
    <t xml:space="preserve">Les composantes mensuelles des dépassements de puissance souscrite pour les utilisateurs d'un point de connexion situé dans le domaine de tension HTB 1 sont établies chaque mois selon les modalités décrites au 5.2.1.4.4 de la délibération du 21 janvier 2021. </t>
  </si>
  <si>
    <t>Charges de capital incitées "hors réseaux" hors Lille et Marseille</t>
  </si>
  <si>
    <r>
      <t>Charges de capital incitées "hors réseaux"</t>
    </r>
    <r>
      <rPr>
        <sz val="10"/>
        <color rgb="FFFF0000"/>
        <rFont val="Franklin Gothic Book"/>
        <family val="2"/>
      </rPr>
      <t xml:space="preserve"> </t>
    </r>
    <r>
      <rPr>
        <i/>
        <sz val="10"/>
        <color theme="6" tint="-0.249977111117893"/>
        <rFont val="Franklin Gothic Book"/>
        <family val="2"/>
      </rPr>
      <t>hors Lille et Marseille</t>
    </r>
  </si>
  <si>
    <t xml:space="preserve">Ecart entre trajectoire prévisionnelle des réserves d'équilibrage et l’éventuelle mise à jour </t>
  </si>
  <si>
    <t>Recettes prévisionnelles calculées à partir de la grille tarifaire TURPE 5 en vigueur au 1er août 2020 (hors abattement électro-intensifs et hors recettes d'injection - part énergie)</t>
  </si>
  <si>
    <t>Recettes prévisionnelles calculées à partir de la grille tarifaire TURPE 5 en vigueur au 1er août 2020 (hors recettes d'injection - part énergie)</t>
  </si>
  <si>
    <t>Recettes prévisionnelles hors évolution au 1er août 2021 (hors recettes d'injection - part énergie)</t>
  </si>
  <si>
    <t>Recettes prévisionnelles hors évolution au 1er août 2021 à compter du 1er août 2021 (hors recettes d'injection - part énergie)</t>
  </si>
  <si>
    <t xml:space="preserve">Recettes prévisionnelles hors évolution au 1er août 2021 </t>
  </si>
  <si>
    <t>Evolution au 1er août 2021</t>
  </si>
  <si>
    <t>VAN au 31/12/2020</t>
  </si>
  <si>
    <t>Charges de capital non incitées  (y compris relatives aux projets de Lille et Marseille)</t>
  </si>
  <si>
    <t>Coûts de congestions nationales et internationales</t>
  </si>
  <si>
    <t>Incitations fin de période</t>
  </si>
  <si>
    <t>Coûts échoués récurrents (VNC des immobilisations démolies et études et travaux sans suite)</t>
  </si>
  <si>
    <t xml:space="preserve">Coûts échoués récurrents (Valeur nette comptable des immobilisations démolies et études et travaux sans suite) </t>
  </si>
  <si>
    <t>Charges nettes d'exploitation (CNE) incitées (hors coûts échoués)</t>
  </si>
  <si>
    <t>Evolution prévisionnelle IPC (N) + X + évolution au 1er août 2021</t>
  </si>
  <si>
    <t>Evolution prévisionnelle IPC (N) + X cumulée entre 2020 et l'année N (y compris évolution au 1er août 2021)</t>
  </si>
  <si>
    <t>Facteur d'évolution annuel (X)</t>
  </si>
  <si>
    <t>Evolution prévisionnelle IPC (N) + X cumulée entre 2021 et l'année N</t>
  </si>
  <si>
    <t>Evolution prévisionnelle IPC (N) + X</t>
  </si>
  <si>
    <t>RECETTES TARIFAIRES PREVISIONNELLES RESULTANT DU TARIF EN VIGUEUR DU 01/08/2021 AU 31/07/2022 (M€)</t>
  </si>
  <si>
    <t>dont recettes prévisionnelles du 1er janvier N au 31 juillet N*</t>
  </si>
  <si>
    <t>Taux moyen</t>
  </si>
  <si>
    <t xml:space="preserve">Régulation incitative des dépenses de recherche &amp; développement (R&amp;D) </t>
  </si>
  <si>
    <t>Revenu autorisé prévisionnel révisé de l'inflation</t>
  </si>
  <si>
    <t xml:space="preserve">Recettes tarifaires perçues par RTE </t>
  </si>
  <si>
    <t>Recettes tarifaires prévisionnelles révisées des évolutions tarifaires réellement appliquées</t>
  </si>
  <si>
    <t>Solde définitif du CRCP au 31 décembre N</t>
  </si>
  <si>
    <r>
      <t xml:space="preserve">Différence de revenus et de recettes au titre de l'année </t>
    </r>
    <r>
      <rPr>
        <b/>
        <i/>
        <sz val="11"/>
        <color theme="1"/>
        <rFont val="Franklin Gothic Book"/>
        <family val="2"/>
      </rPr>
      <t>N</t>
    </r>
  </si>
  <si>
    <t>Régulation incitative à la maîtrise et à la priorisation des dépenses d’investissements</t>
  </si>
  <si>
    <t>Référence projet de loi de finances (chiffres clés)</t>
  </si>
  <si>
    <t>Les cellules sont pré-remplies avec les données prévisionnelles prises en compte par la CRE, en italique de couleur bleue</t>
  </si>
  <si>
    <r>
      <t>Charges liées au dispositif d'interruptibilité</t>
    </r>
    <r>
      <rPr>
        <sz val="10"/>
        <color rgb="FFFF0000"/>
        <rFont val="Franklin Gothic Book"/>
        <family val="2"/>
      </rPr>
      <t xml:space="preserve"> </t>
    </r>
  </si>
  <si>
    <r>
      <t>Indemnités versées par RTE aux GRD au titre des coupures longues au-delà de</t>
    </r>
    <r>
      <rPr>
        <sz val="10"/>
        <color rgb="FFFF0000"/>
        <rFont val="Franklin Gothic Book"/>
        <family val="2"/>
      </rPr>
      <t xml:space="preserve"> </t>
    </r>
    <r>
      <rPr>
        <sz val="10"/>
        <rFont val="Franklin Gothic Book"/>
        <family val="2"/>
      </rPr>
      <t xml:space="preserve">9 M€ </t>
    </r>
  </si>
  <si>
    <r>
      <t>Montants retenus au titre du mécanisme de prise en compte des projets de déploiement industriel des réseaux électriques intelligents</t>
    </r>
    <r>
      <rPr>
        <sz val="10"/>
        <color rgb="FFFF0000"/>
        <rFont val="Franklin Gothic Book"/>
        <family val="2"/>
      </rPr>
      <t xml:space="preserve"> </t>
    </r>
  </si>
  <si>
    <t>Part abattement electro-intensif dans recettes tarifaires hors recettes d'injection</t>
  </si>
  <si>
    <t>Facteur d'évolution annuelle (X)</t>
  </si>
  <si>
    <t xml:space="preserve">Evolution de l'inflation réalisée entre l'année N-1 et l'année N </t>
  </si>
  <si>
    <t>Cumul de l'inflation réalisée entre 2019 et l'année N</t>
  </si>
  <si>
    <t>Revenu autorisé définitif</t>
  </si>
  <si>
    <r>
      <t xml:space="preserve">Prévision IPC hors tabac pour l'année </t>
    </r>
    <r>
      <rPr>
        <b/>
        <i/>
        <sz val="10"/>
        <color theme="1"/>
        <rFont val="Franklin Gothic Book"/>
        <family val="2"/>
      </rPr>
      <t>N (%)</t>
    </r>
  </si>
  <si>
    <t>Apurement prévisionnel sur le 1er semestre N</t>
  </si>
  <si>
    <t>Dénominateur de l'apurement sur le 2nd semestre de l'année N et le 1er semestre de l'année N+1</t>
  </si>
  <si>
    <t>Coefficient k déplafonné au 1er août N</t>
  </si>
  <si>
    <t>k tenant compte des années antérieures</t>
  </si>
  <si>
    <r>
      <t xml:space="preserve">Coefficient d'évolution </t>
    </r>
    <r>
      <rPr>
        <b/>
        <i/>
        <sz val="11"/>
        <color rgb="FFC00000"/>
        <rFont val="Franklin Gothic Book"/>
        <family val="2"/>
      </rPr>
      <t>k</t>
    </r>
    <r>
      <rPr>
        <b/>
        <sz val="11"/>
        <color rgb="FFC00000"/>
        <rFont val="Franklin Gothic Book"/>
        <family val="2"/>
      </rPr>
      <t xml:space="preserve"> au 1</t>
    </r>
    <r>
      <rPr>
        <b/>
        <vertAlign val="superscript"/>
        <sz val="11"/>
        <color rgb="FFC00000"/>
        <rFont val="Franklin Gothic Book"/>
        <family val="2"/>
      </rPr>
      <t>er</t>
    </r>
    <r>
      <rPr>
        <b/>
        <sz val="11"/>
        <color rgb="FFC00000"/>
        <rFont val="Franklin Gothic Book"/>
        <family val="2"/>
      </rPr>
      <t xml:space="preserve"> août </t>
    </r>
    <r>
      <rPr>
        <b/>
        <i/>
        <sz val="11"/>
        <color rgb="FFC00000"/>
        <rFont val="Franklin Gothic Book"/>
        <family val="2"/>
      </rPr>
      <t>N</t>
    </r>
  </si>
  <si>
    <r>
      <t>k permettant d'apurer le solde prévisionnel du CRCP au 1</t>
    </r>
    <r>
      <rPr>
        <vertAlign val="superscript"/>
        <sz val="11"/>
        <color theme="1"/>
        <rFont val="Franklin Gothic Book"/>
        <family val="2"/>
      </rPr>
      <t>er</t>
    </r>
    <r>
      <rPr>
        <sz val="11"/>
        <color theme="1"/>
        <rFont val="Franklin Gothic Book"/>
        <family val="2"/>
      </rPr>
      <t xml:space="preserve"> août N</t>
    </r>
  </si>
  <si>
    <r>
      <t>Pour information : Solde CRCP prévisionnel au 1</t>
    </r>
    <r>
      <rPr>
        <i/>
        <vertAlign val="superscript"/>
        <sz val="11"/>
        <color theme="1"/>
        <rFont val="Franklin Gothic Book"/>
        <family val="2"/>
      </rPr>
      <t>er</t>
    </r>
    <r>
      <rPr>
        <i/>
        <sz val="11"/>
        <color theme="1"/>
        <rFont val="Franklin Gothic Book"/>
        <family val="2"/>
      </rPr>
      <t xml:space="preserve"> août N+1</t>
    </r>
  </si>
  <si>
    <r>
      <t xml:space="preserve">Evolution réalisée </t>
    </r>
    <r>
      <rPr>
        <b/>
        <i/>
        <sz val="11"/>
        <color rgb="FFC00000"/>
        <rFont val="Franklin Gothic Book"/>
        <family val="2"/>
      </rPr>
      <t>(IPC+X+k)</t>
    </r>
    <r>
      <rPr>
        <b/>
        <sz val="11"/>
        <color rgb="FFC00000"/>
        <rFont val="Franklin Gothic Book"/>
        <family val="2"/>
      </rPr>
      <t xml:space="preserve"> au 1</t>
    </r>
    <r>
      <rPr>
        <b/>
        <vertAlign val="superscript"/>
        <sz val="11"/>
        <color rgb="FFC00000"/>
        <rFont val="Franklin Gothic Book"/>
        <family val="2"/>
      </rPr>
      <t>er</t>
    </r>
    <r>
      <rPr>
        <b/>
        <sz val="11"/>
        <color rgb="FFC00000"/>
        <rFont val="Franklin Gothic Book"/>
        <family val="2"/>
      </rPr>
      <t xml:space="preserve"> août</t>
    </r>
    <r>
      <rPr>
        <b/>
        <i/>
        <sz val="11"/>
        <color rgb="FFC00000"/>
        <rFont val="Franklin Gothic Book"/>
        <family val="2"/>
      </rPr>
      <t xml:space="preserve"> N</t>
    </r>
  </si>
  <si>
    <t>Solde prévisionnel du CRCP au 1er août N</t>
  </si>
  <si>
    <t>cumul entre 2019 et l'année N</t>
  </si>
  <si>
    <t xml:space="preserve">Cumul de l'inflation prévisionnelle (délibérée) entre 2019 et l'année N </t>
  </si>
  <si>
    <r>
      <t xml:space="preserve">Solde prévisionnel du CRCP au 31 décembre </t>
    </r>
    <r>
      <rPr>
        <b/>
        <i/>
        <sz val="11"/>
        <rFont val="Franklin Gothic Book"/>
        <family val="2"/>
      </rPr>
      <t>N</t>
    </r>
  </si>
  <si>
    <t>Inflation prévisionnelle de l'année N+1 ( Loi de Finance) utilisée pour l'évolution tarifaire au 1er août N</t>
  </si>
  <si>
    <t>Delta de revenu autorisé sur la période d'apurement (2nd semestre de l'année N et le 1er semestre de l'année N+1)</t>
  </si>
  <si>
    <t>Moins-values de cession</t>
  </si>
  <si>
    <t>" incitations"</t>
  </si>
  <si>
    <t>Inflation prévionnelle Loi de Finances</t>
  </si>
  <si>
    <r>
      <t>Cumul IPC +X (à inflation délibérée et k = 0) à partir du 1</t>
    </r>
    <r>
      <rPr>
        <i/>
        <vertAlign val="superscript"/>
        <sz val="10"/>
        <color theme="1" tint="0.499984740745262"/>
        <rFont val="Franklin Gothic Book"/>
        <family val="2"/>
      </rPr>
      <t>er</t>
    </r>
    <r>
      <rPr>
        <i/>
        <sz val="10"/>
        <color theme="1" tint="0.499984740745262"/>
        <rFont val="Franklin Gothic Book"/>
        <family val="2"/>
      </rPr>
      <t xml:space="preserve"> août 2021</t>
    </r>
  </si>
  <si>
    <r>
      <t>Cumul IPC+X+k à partir du 1</t>
    </r>
    <r>
      <rPr>
        <i/>
        <vertAlign val="superscript"/>
        <sz val="10"/>
        <color theme="1" tint="0.499984740745262"/>
        <rFont val="Franklin Gothic Book"/>
        <family val="2"/>
      </rPr>
      <t>er</t>
    </r>
    <r>
      <rPr>
        <i/>
        <sz val="10"/>
        <color theme="1" tint="0.499984740745262"/>
        <rFont val="Franklin Gothic Book"/>
        <family val="2"/>
      </rPr>
      <t xml:space="preserve"> août 2021</t>
    </r>
  </si>
  <si>
    <r>
      <rPr>
        <b/>
        <sz val="11"/>
        <rFont val="Franklin Gothic Book"/>
        <family val="2"/>
      </rPr>
      <t xml:space="preserve">DONNEES D'ENTREE : </t>
    </r>
    <r>
      <rPr>
        <sz val="11"/>
        <rFont val="Franklin Gothic Book"/>
        <family val="2"/>
      </rPr>
      <t xml:space="preserve">
Valeurs prévisionnelles pour la période TURPE 6 </t>
    </r>
  </si>
  <si>
    <r>
      <rPr>
        <b/>
        <sz val="11"/>
        <rFont val="Franklin Gothic Book"/>
        <family val="2"/>
      </rPr>
      <t xml:space="preserve">DONNEES D'ENTREE </t>
    </r>
    <r>
      <rPr>
        <sz val="11"/>
        <rFont val="Franklin Gothic Book"/>
        <family val="2"/>
      </rPr>
      <t xml:space="preserve">: Inflation réalisée, à remplir pour chaque année </t>
    </r>
    <r>
      <rPr>
        <i/>
        <sz val="11"/>
        <rFont val="Franklin Gothic Book"/>
        <family val="2"/>
      </rPr>
      <t>N-1</t>
    </r>
    <r>
      <rPr>
        <sz val="11"/>
        <rFont val="Franklin Gothic Book"/>
        <family val="2"/>
      </rPr>
      <t xml:space="preserve"> pour l'évolution au 1er août </t>
    </r>
    <r>
      <rPr>
        <i/>
        <sz val="11"/>
        <rFont val="Franklin Gothic Book"/>
        <family val="2"/>
      </rPr>
      <t>N</t>
    </r>
    <r>
      <rPr>
        <sz val="11"/>
        <rFont val="Franklin Gothic Book"/>
        <family val="2"/>
      </rPr>
      <t>; inflation prévisionnelle retenue dans la loi de finances, à actualiser pour chaque année</t>
    </r>
  </si>
  <si>
    <r>
      <rPr>
        <b/>
        <sz val="11"/>
        <rFont val="Franklin Gothic Book"/>
        <family val="2"/>
      </rPr>
      <t>DONNEES D'ENTREE :</t>
    </r>
    <r>
      <rPr>
        <sz val="11"/>
        <rFont val="Franklin Gothic Book"/>
        <family val="2"/>
      </rPr>
      <t xml:space="preserve"> données comptables RTE réalisées des postes du revenu autorisé calculé </t>
    </r>
    <r>
      <rPr>
        <i/>
        <sz val="11"/>
        <rFont val="Franklin Gothic Book"/>
        <family val="2"/>
      </rPr>
      <t>ex post</t>
    </r>
    <r>
      <rPr>
        <sz val="11"/>
        <rFont val="Franklin Gothic Book"/>
        <family val="2"/>
      </rPr>
      <t xml:space="preserve"> selon la délibération TURPE 6 HTB, à remplir pour chaque année </t>
    </r>
    <r>
      <rPr>
        <i/>
        <sz val="11"/>
        <rFont val="Franklin Gothic Book"/>
        <family val="2"/>
      </rPr>
      <t>N-1</t>
    </r>
    <r>
      <rPr>
        <sz val="11"/>
        <rFont val="Franklin Gothic Book"/>
        <family val="2"/>
      </rPr>
      <t xml:space="preserve"> pour l'évolution au 1er août </t>
    </r>
    <r>
      <rPr>
        <i/>
        <sz val="11"/>
        <rFont val="Franklin Gothic Book"/>
        <family val="2"/>
      </rPr>
      <t>N</t>
    </r>
  </si>
  <si>
    <r>
      <rPr>
        <b/>
        <sz val="11"/>
        <rFont val="Franklin Gothic Book"/>
        <family val="2"/>
      </rPr>
      <t>CALCUL :</t>
    </r>
    <r>
      <rPr>
        <sz val="11"/>
        <rFont val="Franklin Gothic Book"/>
        <family val="2"/>
      </rPr>
      <t xml:space="preserve"> chaque année de 2022 à 2024, le solde du CRCP au 31 décembre de l'année </t>
    </r>
    <r>
      <rPr>
        <i/>
        <sz val="11"/>
        <rFont val="Franklin Gothic Book"/>
        <family val="2"/>
      </rPr>
      <t xml:space="preserve">N-1 </t>
    </r>
    <r>
      <rPr>
        <sz val="11"/>
        <rFont val="Franklin Gothic Book"/>
        <family val="2"/>
      </rPr>
      <t xml:space="preserve">est calculé à partir des données d'entrée. Il permet d'obtenir le coefficient K(N) de l'année </t>
    </r>
    <r>
      <rPr>
        <i/>
        <sz val="11"/>
        <rFont val="Franklin Gothic Book"/>
        <family val="2"/>
      </rPr>
      <t>N</t>
    </r>
    <r>
      <rPr>
        <sz val="11"/>
        <rFont val="Franklin Gothic Book"/>
        <family val="2"/>
      </rPr>
      <t xml:space="preserve"> et le pourcentage d'évolution à appliquer à la grille tarifaire au 1er août </t>
    </r>
    <r>
      <rPr>
        <i/>
        <sz val="11"/>
        <rFont val="Franklin Gothic Book"/>
        <family val="2"/>
      </rPr>
      <t>N</t>
    </r>
    <r>
      <rPr>
        <sz val="11"/>
        <rFont val="Franklin Gothic Book"/>
        <family val="2"/>
      </rPr>
      <t xml:space="preserve"> (selon la formule IPCprévisionnelle loi de finance (N) + X+ K(N))</t>
    </r>
  </si>
  <si>
    <r>
      <rPr>
        <b/>
        <sz val="11"/>
        <rFont val="Franklin Gothic Book"/>
        <family val="2"/>
      </rPr>
      <t>RESULTATS :</t>
    </r>
    <r>
      <rPr>
        <sz val="11"/>
        <rFont val="Franklin Gothic Book"/>
        <family val="2"/>
      </rPr>
      <t xml:space="preserve"> composantes du TURPE 6 HTB du 1er août N au 31 juillet N+1 </t>
    </r>
  </si>
  <si>
    <r>
      <t xml:space="preserve">2. reporter les valeurs des différents postes du revenu autorisé de l'année </t>
    </r>
    <r>
      <rPr>
        <i/>
        <sz val="11"/>
        <rFont val="Franklin Gothic Book"/>
        <family val="2"/>
      </rPr>
      <t>N-1</t>
    </r>
    <r>
      <rPr>
        <sz val="11"/>
        <rFont val="Franklin Gothic Book"/>
        <family val="2"/>
      </rPr>
      <t>, à partir des calculs prévus par la délibération TURPE 6 HTB ou des données comptables de RTE</t>
    </r>
  </si>
  <si>
    <r>
      <t>Evolutions au 01/08/</t>
    </r>
    <r>
      <rPr>
        <b/>
        <i/>
        <sz val="11"/>
        <rFont val="Franklin Gothic Book"/>
        <family val="2"/>
      </rPr>
      <t>N</t>
    </r>
  </si>
  <si>
    <r>
      <t>5. relever les résultats : les termes de la nouvelle grille tarifaire au 1</t>
    </r>
    <r>
      <rPr>
        <vertAlign val="superscript"/>
        <sz val="11"/>
        <color theme="1"/>
        <rFont val="Franklin Gothic Book"/>
        <family val="2"/>
      </rPr>
      <t>er</t>
    </r>
    <r>
      <rPr>
        <sz val="11"/>
        <color theme="1"/>
        <rFont val="Franklin Gothic Book"/>
        <family val="2"/>
      </rPr>
      <t xml:space="preserve"> août </t>
    </r>
    <r>
      <rPr>
        <i/>
        <sz val="11"/>
        <rFont val="Franklin Gothic Book"/>
        <family val="2"/>
      </rPr>
      <t>N</t>
    </r>
  </si>
  <si>
    <r>
      <t>Cumul IPC+X+k à partir du 1</t>
    </r>
    <r>
      <rPr>
        <i/>
        <vertAlign val="superscript"/>
        <sz val="10"/>
        <color theme="1" tint="0.499984740745262"/>
        <rFont val="Franklin Gothic Book"/>
        <family val="2"/>
      </rPr>
      <t>er</t>
    </r>
    <r>
      <rPr>
        <i/>
        <sz val="10"/>
        <color theme="1" tint="0.499984740745262"/>
        <rFont val="Franklin Gothic Book"/>
        <family val="2"/>
      </rPr>
      <t xml:space="preserve"> août 2022 (utilisée pour la MAJ des grilles tarifaires)</t>
    </r>
  </si>
  <si>
    <r>
      <t xml:space="preserve">Evolution IPC+X au 1er août N (à inflation prévisionnelle loi de finance, et k </t>
    </r>
    <r>
      <rPr>
        <sz val="11"/>
        <rFont val="Franklin Gothic Book"/>
        <family val="2"/>
      </rPr>
      <t>= 0)</t>
    </r>
  </si>
  <si>
    <r>
      <rPr>
        <b/>
        <sz val="14"/>
        <color rgb="FF000000"/>
        <rFont val="Franklin Gothic Book"/>
        <family val="2"/>
      </rPr>
      <t>Avertissement</t>
    </r>
    <r>
      <rPr>
        <b/>
        <sz val="11"/>
        <color rgb="FF000000"/>
        <rFont val="Franklin Gothic Book"/>
        <family val="2"/>
      </rPr>
      <t xml:space="preserve">
</t>
    </r>
    <r>
      <rPr>
        <sz val="11"/>
        <color rgb="FF000000"/>
        <rFont val="Franklin Gothic Book"/>
        <family val="2"/>
      </rPr>
      <t xml:space="preserve">Le fichier présenté ici constitue un outil à vocation pédagogique et tend à illustrer les mécanismes décrits dans la délibération n° 2021-12 du 21 janvier 2021 relative au TURPE 6 HTB en vue de faciliter sa compréhension.
Sa publication répond également à un souci croissant de transparence afin d’éclairer les acteurs sur les données structurantes ayant conduit à l’adoption de la délibération et d’améliorer leur visibilité sur les évolutions futures au cours de la période du TURPE 6.
Ce fichier ne fait cependant pas partie intégrante de la délibération, pas plus qu’il n’en constitue un guide d’interprétation.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</si>
</sst>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8" formatCode="#,##0.00\ &quot;€&quot;;[Red]\-#,##0.00\ &quot;€&quot;"/>
    <numFmt numFmtId="164" formatCode="_-* #,##0.00\ _€_-;\-* #,##0.00\ _€_-;_-* &quot;-&quot;??\ _€_-;_-@_-"/>
    <numFmt numFmtId="165" formatCode="0.000"/>
    <numFmt numFmtId="166" formatCode="0.0000"/>
    <numFmt numFmtId="167" formatCode="#,##0.0"/>
    <numFmt numFmtId="168" formatCode="0.0000%"/>
    <numFmt numFmtId="169" formatCode="_-* #,##0.00\ _€_-;\-* #,##0.00\ _€_-;_-* &quot;-&quot;?\ _€_-;_-@_-"/>
    <numFmt numFmtId="170" formatCode="#,##0.00_ ;\-#,##0.00\ "/>
    <numFmt numFmtId="171" formatCode="#,##0.0000_ ;\-#,##0.0000\ "/>
    <numFmt numFmtId="172" formatCode="0.000000"/>
    <numFmt numFmtId="173" formatCode="0.0%"/>
    <numFmt numFmtId="174" formatCode="0.0"/>
    <numFmt numFmtId="175" formatCode="0.0000000000"/>
    <numFmt numFmtId="176" formatCode="[&gt;0]\+\ #,##0.00%;[&lt;0]\-\ #,##0.00%;\-"/>
    <numFmt numFmtId="177" formatCode="[&gt;0]\+\ #,##0.00__%;[&lt;0]\-\ #,##0.00__%;\-"/>
    <numFmt numFmtId="178" formatCode="0.00000"/>
    <numFmt numFmtId="179" formatCode="#,##0.000"/>
    <numFmt numFmtId="180" formatCode="0.0000000"/>
    <numFmt numFmtId="181" formatCode="0.00000000"/>
    <numFmt numFmtId="182" formatCode="#,##0_ ;\-#,##0\ "/>
    <numFmt numFmtId="183" formatCode="0.000%"/>
  </numFmts>
  <fonts count="109" x14ac:knownFonts="1">
    <font>
      <sz val="11"/>
      <color theme="1"/>
      <name val="Calibri"/>
      <family val="2"/>
      <scheme val="minor"/>
    </font>
    <font>
      <sz val="10"/>
      <color theme="1"/>
      <name val="Franklin Gothic Book"/>
      <family val="2"/>
    </font>
    <font>
      <sz val="11"/>
      <color theme="1"/>
      <name val="Calibri"/>
      <family val="2"/>
      <scheme val="minor"/>
    </font>
    <font>
      <b/>
      <sz val="11"/>
      <color rgb="FFFF0000"/>
      <name val="Calibri"/>
      <family val="2"/>
      <scheme val="minor"/>
    </font>
    <font>
      <sz val="10"/>
      <color rgb="FFFFFFFF"/>
      <name val="Franklin Gothic Book"/>
      <family val="2"/>
    </font>
    <font>
      <sz val="10"/>
      <color rgb="FF000000"/>
      <name val="Franklin Gothic Book"/>
      <family val="2"/>
    </font>
    <font>
      <b/>
      <sz val="10"/>
      <color rgb="FFFFFFFF"/>
      <name val="Franklin Gothic Book"/>
      <family val="2"/>
    </font>
    <font>
      <b/>
      <sz val="10"/>
      <color theme="1"/>
      <name val="Franklin Gothic Book"/>
      <family val="2"/>
    </font>
    <font>
      <sz val="10"/>
      <name val="Franklin Gothic Book"/>
      <family val="2"/>
    </font>
    <font>
      <b/>
      <sz val="10"/>
      <color rgb="FFFF0000"/>
      <name val="Franklin Gothic Book"/>
      <family val="2"/>
    </font>
    <font>
      <sz val="18"/>
      <color rgb="FF429188"/>
      <name val="Franklin Gothic Book"/>
      <family val="2"/>
    </font>
    <font>
      <b/>
      <sz val="16"/>
      <color rgb="FF000000"/>
      <name val="Franklin Gothic Book"/>
      <family val="2"/>
    </font>
    <font>
      <b/>
      <sz val="14"/>
      <color rgb="FF000000"/>
      <name val="Franklin Gothic Book"/>
      <family val="2"/>
    </font>
    <font>
      <b/>
      <sz val="11"/>
      <color rgb="FF000000"/>
      <name val="Franklin Gothic Book"/>
      <family val="2"/>
    </font>
    <font>
      <sz val="11"/>
      <color rgb="FF000000"/>
      <name val="Franklin Gothic Book"/>
      <family val="2"/>
    </font>
    <font>
      <b/>
      <sz val="12"/>
      <color rgb="FFFFFFFF"/>
      <name val="Franklin Gothic Book"/>
      <family val="2"/>
    </font>
    <font>
      <sz val="12"/>
      <color rgb="FFFFFFFF"/>
      <name val="Franklin Gothic Book"/>
      <family val="2"/>
    </font>
    <font>
      <sz val="11"/>
      <color theme="1"/>
      <name val="Franklin Gothic Book"/>
      <family val="2"/>
    </font>
    <font>
      <sz val="11"/>
      <name val="Franklin Gothic Book"/>
      <family val="2"/>
    </font>
    <font>
      <b/>
      <sz val="11"/>
      <name val="Franklin Gothic Book"/>
      <family val="2"/>
    </font>
    <font>
      <b/>
      <i/>
      <sz val="11"/>
      <name val="Franklin Gothic Book"/>
      <family val="2"/>
    </font>
    <font>
      <sz val="11"/>
      <color theme="0"/>
      <name val="Franklin Gothic Book"/>
      <family val="2"/>
    </font>
    <font>
      <i/>
      <sz val="11"/>
      <name val="Franklin Gothic Book"/>
      <family val="2"/>
    </font>
    <font>
      <b/>
      <sz val="10"/>
      <color rgb="FFC00000"/>
      <name val="Franklin Gothic Book"/>
      <family val="2"/>
    </font>
    <font>
      <b/>
      <sz val="10"/>
      <name val="Franklin Gothic Book"/>
      <family val="2"/>
    </font>
    <font>
      <b/>
      <sz val="10"/>
      <name val="Arial"/>
      <family val="2"/>
    </font>
    <font>
      <vertAlign val="superscript"/>
      <sz val="11"/>
      <name val="Franklin Gothic Book"/>
      <family val="2"/>
    </font>
    <font>
      <vertAlign val="superscript"/>
      <sz val="11"/>
      <color theme="1"/>
      <name val="Franklin Gothic Book"/>
      <family val="2"/>
    </font>
    <font>
      <sz val="11"/>
      <color rgb="FFFFFFFF"/>
      <name val="Franklin Gothic Book"/>
      <family val="2"/>
    </font>
    <font>
      <b/>
      <i/>
      <sz val="10"/>
      <color rgb="FFC00000"/>
      <name val="Franklin Gothic Book"/>
      <family val="2"/>
    </font>
    <font>
      <i/>
      <sz val="10"/>
      <name val="Franklin Gothic Book"/>
      <family val="2"/>
    </font>
    <font>
      <sz val="12"/>
      <color theme="1"/>
      <name val="Franklin Gothic Book"/>
      <family val="2"/>
    </font>
    <font>
      <sz val="20"/>
      <color rgb="FFFFFFFF"/>
      <name val="Franklin Gothic Book"/>
      <family val="2"/>
    </font>
    <font>
      <i/>
      <sz val="11"/>
      <color theme="3"/>
      <name val="Franklin Gothic Book"/>
      <family val="2"/>
    </font>
    <font>
      <i/>
      <sz val="10"/>
      <color theme="1" tint="0.499984740745262"/>
      <name val="Franklin Gothic Book"/>
      <family val="2"/>
    </font>
    <font>
      <i/>
      <sz val="20"/>
      <color rgb="FFFFFFFF"/>
      <name val="Franklin Gothic Book"/>
      <family val="2"/>
    </font>
    <font>
      <sz val="12"/>
      <color theme="0"/>
      <name val="Franklin Gothic Book"/>
      <family val="2"/>
    </font>
    <font>
      <i/>
      <sz val="12"/>
      <color theme="0"/>
      <name val="Franklin Gothic Book"/>
      <family val="2"/>
    </font>
    <font>
      <b/>
      <sz val="11"/>
      <color theme="1"/>
      <name val="Franklin Gothic Book"/>
      <family val="2"/>
    </font>
    <font>
      <b/>
      <i/>
      <sz val="11"/>
      <color theme="3"/>
      <name val="Franklin Gothic Book"/>
      <family val="2"/>
    </font>
    <font>
      <sz val="11"/>
      <color theme="3"/>
      <name val="Franklin Gothic Book"/>
      <family val="2"/>
    </font>
    <font>
      <i/>
      <sz val="11"/>
      <color rgb="FFFF0000"/>
      <name val="Franklin Gothic Book"/>
      <family val="2"/>
    </font>
    <font>
      <i/>
      <sz val="10"/>
      <color theme="1"/>
      <name val="Franklin Gothic Book"/>
      <family val="2"/>
    </font>
    <font>
      <sz val="18"/>
      <name val="Franklin Gothic Book"/>
      <family val="2"/>
    </font>
    <font>
      <b/>
      <sz val="11"/>
      <color rgb="FFC00000"/>
      <name val="Franklin Gothic Book"/>
      <family val="2"/>
    </font>
    <font>
      <b/>
      <vertAlign val="superscript"/>
      <sz val="11"/>
      <color rgb="FFC00000"/>
      <name val="Franklin Gothic Book"/>
      <family val="2"/>
    </font>
    <font>
      <sz val="16"/>
      <color theme="1"/>
      <name val="Franklin Gothic Book"/>
      <family val="2"/>
    </font>
    <font>
      <sz val="11"/>
      <color rgb="FFC00000"/>
      <name val="Franklin Gothic Book"/>
      <family val="2"/>
    </font>
    <font>
      <sz val="11"/>
      <color rgb="FFFF0000"/>
      <name val="Franklin Gothic Book"/>
      <family val="2"/>
    </font>
    <font>
      <i/>
      <sz val="11"/>
      <color theme="1" tint="0.499984740745262"/>
      <name val="Franklin Gothic Book"/>
      <family val="2"/>
    </font>
    <font>
      <b/>
      <sz val="11"/>
      <color rgb="FFC00000"/>
      <name val="Calibri"/>
      <family val="2"/>
      <scheme val="minor"/>
    </font>
    <font>
      <b/>
      <i/>
      <sz val="12"/>
      <color rgb="FFFFFFFF"/>
      <name val="Franklin Gothic Book"/>
      <family val="2"/>
    </font>
    <font>
      <b/>
      <sz val="11"/>
      <color theme="0"/>
      <name val="Calibri"/>
      <family val="2"/>
      <scheme val="minor"/>
    </font>
    <font>
      <i/>
      <sz val="11"/>
      <color theme="3" tint="0.39997558519241921"/>
      <name val="Franklin Gothic Book"/>
      <family val="2"/>
    </font>
    <font>
      <b/>
      <sz val="11"/>
      <color theme="1"/>
      <name val="Calibri"/>
      <family val="2"/>
      <scheme val="minor"/>
    </font>
    <font>
      <u/>
      <sz val="10"/>
      <color theme="10"/>
      <name val="Arial"/>
      <family val="2"/>
    </font>
    <font>
      <sz val="10"/>
      <color theme="6" tint="-0.249977111117893"/>
      <name val="Franklin Gothic Book"/>
      <family val="2"/>
    </font>
    <font>
      <b/>
      <sz val="10"/>
      <color rgb="FF000000"/>
      <name val="Franklin Gothic Book"/>
      <family val="2"/>
    </font>
    <font>
      <i/>
      <sz val="10"/>
      <color theme="6" tint="-0.249977111117893"/>
      <name val="Franklin Gothic Book"/>
      <family val="2"/>
    </font>
    <font>
      <sz val="10"/>
      <color rgb="FFFF0000"/>
      <name val="Franklin Gothic Book"/>
      <family val="2"/>
    </font>
    <font>
      <i/>
      <sz val="10"/>
      <color rgb="FF000000"/>
      <name val="Franklin Gothic Book"/>
      <family val="2"/>
    </font>
    <font>
      <sz val="9"/>
      <name val="Franklin Gothic Book"/>
      <family val="2"/>
    </font>
    <font>
      <b/>
      <i/>
      <sz val="10"/>
      <color theme="1"/>
      <name val="Franklin Gothic Book"/>
      <family val="2"/>
    </font>
    <font>
      <b/>
      <i/>
      <sz val="10"/>
      <color rgb="FF000000"/>
      <name val="Franklin Gothic Book"/>
      <family val="2"/>
    </font>
    <font>
      <b/>
      <i/>
      <sz val="10"/>
      <name val="Franklin Gothic Book"/>
      <family val="2"/>
    </font>
    <font>
      <b/>
      <sz val="8"/>
      <color rgb="FFFF0000"/>
      <name val="Franklin Gothic Book"/>
      <family val="2"/>
    </font>
    <font>
      <sz val="11"/>
      <color theme="7"/>
      <name val="Franklin Gothic Book"/>
      <family val="2"/>
    </font>
    <font>
      <i/>
      <sz val="10"/>
      <color rgb="FFFF0000"/>
      <name val="Franklin Gothic Book"/>
      <family val="2"/>
    </font>
    <font>
      <sz val="8"/>
      <color rgb="FFFF0000"/>
      <name val="Franklin Gothic Book"/>
      <family val="2"/>
    </font>
    <font>
      <b/>
      <sz val="11"/>
      <color rgb="FFFFFFFF"/>
      <name val="Franklin Gothic Book"/>
      <family val="2"/>
    </font>
    <font>
      <sz val="9"/>
      <color theme="1"/>
      <name val="Franklin Gothic Book"/>
      <family val="2"/>
    </font>
    <font>
      <b/>
      <sz val="11"/>
      <color theme="0"/>
      <name val="Franklin Gothic Book"/>
      <family val="2"/>
    </font>
    <font>
      <b/>
      <i/>
      <sz val="11"/>
      <color rgb="FFC00000"/>
      <name val="Franklin Gothic Book"/>
      <family val="2"/>
    </font>
    <font>
      <b/>
      <sz val="11"/>
      <color rgb="FFFF0000"/>
      <name val="Franklin Gothic Book"/>
      <family val="2"/>
    </font>
    <font>
      <b/>
      <sz val="9"/>
      <color rgb="FFC00000"/>
      <name val="Franklin Gothic Book"/>
      <family val="2"/>
    </font>
    <font>
      <b/>
      <sz val="9"/>
      <color theme="0"/>
      <name val="Franklin Gothic Book"/>
      <family val="2"/>
    </font>
    <font>
      <sz val="11"/>
      <color rgb="FFFF0000"/>
      <name val="Calibri"/>
      <family val="2"/>
      <scheme val="minor"/>
    </font>
    <font>
      <sz val="9"/>
      <color rgb="FFFF0000"/>
      <name val="Franklin Gothic Book"/>
      <family val="2"/>
    </font>
    <font>
      <sz val="11"/>
      <name val="Calibri"/>
      <family val="2"/>
      <scheme val="minor"/>
    </font>
    <font>
      <b/>
      <sz val="10"/>
      <color theme="6" tint="-0.249977111117893"/>
      <name val="Franklin Gothic Book"/>
      <family val="2"/>
    </font>
    <font>
      <sz val="11"/>
      <color theme="6" tint="-0.249977111117893"/>
      <name val="Calibri"/>
      <family val="2"/>
      <scheme val="minor"/>
    </font>
    <font>
      <sz val="9"/>
      <color theme="6" tint="-0.249977111117893"/>
      <name val="Franklin Gothic Book"/>
      <family val="2"/>
    </font>
    <font>
      <b/>
      <i/>
      <sz val="10"/>
      <color theme="6" tint="-0.249977111117893"/>
      <name val="Franklin Gothic Book"/>
      <family val="2"/>
    </font>
    <font>
      <sz val="11"/>
      <color indexed="8"/>
      <name val="Calibri"/>
      <family val="2"/>
      <scheme val="minor"/>
    </font>
    <font>
      <i/>
      <sz val="10"/>
      <color rgb="FF0070C0"/>
      <name val="Franklin Gothic Book"/>
      <family val="2"/>
    </font>
    <font>
      <sz val="10"/>
      <color theme="3"/>
      <name val="Franklin Gothic Book"/>
      <family val="2"/>
    </font>
    <font>
      <b/>
      <sz val="11"/>
      <color theme="3"/>
      <name val="Franklin Gothic Book"/>
      <family val="2"/>
    </font>
    <font>
      <sz val="11"/>
      <color rgb="FF00B050"/>
      <name val="Calibri"/>
      <family val="2"/>
      <scheme val="minor"/>
    </font>
    <font>
      <sz val="10"/>
      <color rgb="FF00B050"/>
      <name val="Franklin Gothic Book"/>
      <family val="2"/>
    </font>
    <font>
      <i/>
      <sz val="10"/>
      <color rgb="FF00B050"/>
      <name val="Franklin Gothic Book"/>
      <family val="2"/>
    </font>
    <font>
      <sz val="11"/>
      <color theme="0" tint="-0.499984740745262"/>
      <name val="Calibri"/>
      <family val="2"/>
      <scheme val="minor"/>
    </font>
    <font>
      <b/>
      <sz val="10"/>
      <color theme="0"/>
      <name val="Franklin Gothic Book"/>
      <family val="2"/>
    </font>
    <font>
      <b/>
      <i/>
      <sz val="11"/>
      <color theme="1"/>
      <name val="Franklin Gothic Book"/>
      <family val="2"/>
    </font>
    <font>
      <b/>
      <u/>
      <sz val="10"/>
      <name val="Franklin Gothic Book"/>
      <family val="2"/>
    </font>
    <font>
      <b/>
      <i/>
      <sz val="10"/>
      <color rgb="FF0070C0"/>
      <name val="Franklin Gothic Book"/>
      <family val="2"/>
    </font>
    <font>
      <i/>
      <sz val="11"/>
      <color theme="1"/>
      <name val="Franklin Gothic Book"/>
      <family val="2"/>
    </font>
    <font>
      <i/>
      <vertAlign val="superscript"/>
      <sz val="11"/>
      <color theme="1"/>
      <name val="Franklin Gothic Book"/>
      <family val="2"/>
    </font>
    <font>
      <i/>
      <vertAlign val="superscript"/>
      <sz val="10"/>
      <color theme="1" tint="0.499984740745262"/>
      <name val="Franklin Gothic Book"/>
      <family val="2"/>
    </font>
    <font>
      <i/>
      <sz val="10"/>
      <color theme="1" tint="0.499984740745262"/>
      <name val="Franklin Gothic Book"/>
      <family val="2"/>
    </font>
    <font>
      <sz val="11"/>
      <color theme="7"/>
      <name val="Calibri"/>
      <family val="2"/>
      <scheme val="minor"/>
    </font>
    <font>
      <b/>
      <sz val="11"/>
      <color theme="1"/>
      <name val="Franklin Gothic Book"/>
      <family val="2"/>
    </font>
    <font>
      <sz val="11"/>
      <color theme="1"/>
      <name val="Franklin Gothic Book"/>
      <family val="2"/>
    </font>
    <font>
      <i/>
      <sz val="11"/>
      <color theme="3" tint="0.39997558519241921"/>
      <name val="Franklin Gothic Book"/>
      <family val="2"/>
    </font>
    <font>
      <sz val="11"/>
      <color theme="6" tint="-0.499984740745262"/>
      <name val="Franklin Gothic Book"/>
      <family val="2"/>
    </font>
    <font>
      <b/>
      <sz val="10"/>
      <color rgb="FFFFFFFF"/>
      <name val="Franklin Gothic Book"/>
      <family val="2"/>
    </font>
    <font>
      <sz val="11"/>
      <color theme="1"/>
      <name val="Franklin Gothic Book"/>
      <family val="2"/>
    </font>
    <font>
      <i/>
      <sz val="11"/>
      <color theme="3" tint="0.39997558519241921"/>
      <name val="Franklin Gothic Book"/>
      <family val="2"/>
    </font>
    <font>
      <b/>
      <i/>
      <sz val="11"/>
      <color rgb="FFFF0000"/>
      <name val="Franklin Gothic Book"/>
      <family val="2"/>
    </font>
    <font>
      <sz val="10"/>
      <color theme="0" tint="-0.499984740745262"/>
      <name val="Franklin Gothic Book"/>
      <family val="2"/>
    </font>
  </fonts>
  <fills count="24">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indexed="65"/>
        <bgColor theme="9"/>
      </patternFill>
    </fill>
    <fill>
      <patternFill patternType="solid">
        <fgColor theme="0" tint="-0.34998626667073579"/>
        <bgColor theme="9"/>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7"/>
        <bgColor theme="9"/>
      </patternFill>
    </fill>
    <fill>
      <patternFill patternType="solid">
        <fgColor theme="6" tint="-0.24997711111789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bgColor theme="9"/>
      </patternFill>
    </fill>
  </fills>
  <borders count="149">
    <border>
      <left/>
      <right/>
      <top/>
      <bottom/>
      <diagonal/>
    </border>
    <border>
      <left style="medium">
        <color rgb="FFFFFFFF"/>
      </left>
      <right/>
      <top/>
      <bottom/>
      <diagonal/>
    </border>
    <border>
      <left style="medium">
        <color rgb="FF009AAA"/>
      </left>
      <right style="medium">
        <color rgb="FF009AAA"/>
      </right>
      <top style="medium">
        <color rgb="FF009AAA"/>
      </top>
      <bottom style="medium">
        <color rgb="FF009AAA"/>
      </bottom>
      <diagonal/>
    </border>
    <border>
      <left/>
      <right style="medium">
        <color theme="8"/>
      </right>
      <top/>
      <bottom/>
      <diagonal/>
    </border>
    <border>
      <left/>
      <right/>
      <top style="medium">
        <color theme="8"/>
      </top>
      <bottom/>
      <diagonal/>
    </border>
    <border>
      <left style="medium">
        <color theme="8"/>
      </left>
      <right style="medium">
        <color theme="8"/>
      </right>
      <top style="medium">
        <color theme="8"/>
      </top>
      <bottom style="medium">
        <color theme="8"/>
      </bottom>
      <diagonal/>
    </border>
    <border>
      <left style="medium">
        <color theme="8"/>
      </left>
      <right/>
      <top style="medium">
        <color theme="8"/>
      </top>
      <bottom/>
      <diagonal/>
    </border>
    <border>
      <left style="medium">
        <color theme="8"/>
      </left>
      <right style="medium">
        <color theme="8"/>
      </right>
      <top/>
      <bottom/>
      <diagonal/>
    </border>
    <border>
      <left style="medium">
        <color theme="8"/>
      </left>
      <right/>
      <top style="medium">
        <color theme="8"/>
      </top>
      <bottom style="medium">
        <color theme="8"/>
      </bottom>
      <diagonal/>
    </border>
    <border>
      <left style="medium">
        <color theme="8"/>
      </left>
      <right/>
      <top/>
      <bottom/>
      <diagonal/>
    </border>
    <border>
      <left/>
      <right/>
      <top/>
      <bottom style="medium">
        <color theme="8"/>
      </bottom>
      <diagonal/>
    </border>
    <border>
      <left style="medium">
        <color theme="8"/>
      </left>
      <right style="medium">
        <color theme="8"/>
      </right>
      <top/>
      <bottom style="medium">
        <color theme="8"/>
      </bottom>
      <diagonal/>
    </border>
    <border>
      <left/>
      <right style="medium">
        <color theme="6"/>
      </right>
      <top/>
      <bottom/>
      <diagonal/>
    </border>
    <border>
      <left style="medium">
        <color theme="6"/>
      </left>
      <right style="medium">
        <color theme="6"/>
      </right>
      <top style="medium">
        <color theme="6"/>
      </top>
      <bottom style="medium">
        <color theme="6"/>
      </bottom>
      <diagonal/>
    </border>
    <border>
      <left style="medium">
        <color theme="5"/>
      </left>
      <right style="medium">
        <color theme="5"/>
      </right>
      <top style="medium">
        <color theme="5"/>
      </top>
      <bottom style="medium">
        <color theme="5"/>
      </bottom>
      <diagonal/>
    </border>
    <border>
      <left style="medium">
        <color theme="5"/>
      </left>
      <right style="medium">
        <color rgb="FFFFFFFF"/>
      </right>
      <top style="medium">
        <color theme="5"/>
      </top>
      <bottom/>
      <diagonal/>
    </border>
    <border>
      <left style="medium">
        <color rgb="FFFFFFFF"/>
      </left>
      <right style="medium">
        <color rgb="FFFFFFFF"/>
      </right>
      <top style="medium">
        <color theme="5"/>
      </top>
      <bottom/>
      <diagonal/>
    </border>
    <border>
      <left/>
      <right style="medium">
        <color rgb="FFFFFFFF"/>
      </right>
      <top style="medium">
        <color theme="5"/>
      </top>
      <bottom/>
      <diagonal/>
    </border>
    <border>
      <left/>
      <right style="medium">
        <color theme="5"/>
      </right>
      <top style="medium">
        <color theme="5"/>
      </top>
      <bottom/>
      <diagonal/>
    </border>
    <border>
      <left style="medium">
        <color theme="5"/>
      </left>
      <right style="medium">
        <color rgb="FFFFFFFF"/>
      </right>
      <top style="medium">
        <color theme="5"/>
      </top>
      <bottom style="medium">
        <color theme="5"/>
      </bottom>
      <diagonal/>
    </border>
    <border>
      <left/>
      <right style="medium">
        <color theme="5"/>
      </right>
      <top style="medium">
        <color theme="5"/>
      </top>
      <bottom style="medium">
        <color theme="5"/>
      </bottom>
      <diagonal/>
    </border>
    <border>
      <left/>
      <right style="medium">
        <color rgb="FFFFFFFF"/>
      </right>
      <top style="medium">
        <color theme="5"/>
      </top>
      <bottom style="medium">
        <color theme="5"/>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medium">
        <color theme="7"/>
      </left>
      <right style="medium">
        <color rgb="FFFFFFFF"/>
      </right>
      <top style="medium">
        <color theme="7"/>
      </top>
      <bottom style="medium">
        <color theme="7"/>
      </bottom>
      <diagonal/>
    </border>
    <border>
      <left/>
      <right style="medium">
        <color rgb="FFFFFFFF"/>
      </right>
      <top style="medium">
        <color theme="7"/>
      </top>
      <bottom style="medium">
        <color theme="7"/>
      </bottom>
      <diagonal/>
    </border>
    <border>
      <left style="medium">
        <color theme="7"/>
      </left>
      <right style="medium">
        <color theme="7"/>
      </right>
      <top/>
      <bottom style="medium">
        <color theme="7"/>
      </bottom>
      <diagonal/>
    </border>
    <border>
      <left style="medium">
        <color theme="7"/>
      </left>
      <right style="medium">
        <color theme="7"/>
      </right>
      <top style="medium">
        <color theme="7"/>
      </top>
      <bottom/>
      <diagonal/>
    </border>
    <border>
      <left style="medium">
        <color theme="7"/>
      </left>
      <right/>
      <top style="medium">
        <color theme="7"/>
      </top>
      <bottom/>
      <diagonal/>
    </border>
    <border>
      <left/>
      <right style="medium">
        <color theme="7"/>
      </right>
      <top style="medium">
        <color theme="7"/>
      </top>
      <bottom/>
      <diagonal/>
    </border>
    <border>
      <left style="medium">
        <color theme="8"/>
      </left>
      <right style="medium">
        <color rgb="FFFFFFFF"/>
      </right>
      <top style="medium">
        <color theme="8"/>
      </top>
      <bottom style="medium">
        <color theme="0"/>
      </bottom>
      <diagonal/>
    </border>
    <border>
      <left style="medium">
        <color rgb="FFFFFFFF"/>
      </left>
      <right/>
      <top style="medium">
        <color theme="8"/>
      </top>
      <bottom style="medium">
        <color theme="0"/>
      </bottom>
      <diagonal/>
    </border>
    <border>
      <left style="medium">
        <color rgb="FFFFFFFF"/>
      </left>
      <right style="medium">
        <color rgb="FFFFFFFF"/>
      </right>
      <top style="medium">
        <color theme="8"/>
      </top>
      <bottom style="medium">
        <color theme="0"/>
      </bottom>
      <diagonal/>
    </border>
    <border>
      <left style="medium">
        <color theme="8"/>
      </left>
      <right/>
      <top style="medium">
        <color theme="8"/>
      </top>
      <bottom style="medium">
        <color theme="0"/>
      </bottom>
      <diagonal/>
    </border>
    <border>
      <left/>
      <right/>
      <top style="medium">
        <color theme="8"/>
      </top>
      <bottom style="medium">
        <color theme="0"/>
      </bottom>
      <diagonal/>
    </border>
    <border>
      <left style="medium">
        <color theme="0"/>
      </left>
      <right/>
      <top style="medium">
        <color theme="8"/>
      </top>
      <bottom style="medium">
        <color theme="0"/>
      </bottom>
      <diagonal/>
    </border>
    <border>
      <left style="medium">
        <color theme="0"/>
      </left>
      <right style="medium">
        <color rgb="FFFFFFFF"/>
      </right>
      <top style="medium">
        <color theme="8"/>
      </top>
      <bottom style="medium">
        <color theme="0"/>
      </bottom>
      <diagonal/>
    </border>
    <border>
      <left style="medium">
        <color theme="6"/>
      </left>
      <right/>
      <top/>
      <bottom/>
      <diagonal/>
    </border>
    <border>
      <left style="medium">
        <color theme="6"/>
      </left>
      <right/>
      <top style="medium">
        <color theme="6"/>
      </top>
      <bottom style="medium">
        <color theme="6"/>
      </bottom>
      <diagonal/>
    </border>
    <border>
      <left style="medium">
        <color theme="6"/>
      </left>
      <right style="medium">
        <color theme="6"/>
      </right>
      <top style="medium">
        <color theme="0"/>
      </top>
      <bottom style="medium">
        <color theme="6"/>
      </bottom>
      <diagonal/>
    </border>
    <border>
      <left style="medium">
        <color theme="6"/>
      </left>
      <right style="medium">
        <color rgb="FFFFFFFF"/>
      </right>
      <top style="medium">
        <color theme="6"/>
      </top>
      <bottom/>
      <diagonal/>
    </border>
    <border>
      <left style="medium">
        <color rgb="FFFFFFFF"/>
      </left>
      <right style="medium">
        <color rgb="FFFFFFFF"/>
      </right>
      <top style="medium">
        <color theme="6"/>
      </top>
      <bottom/>
      <diagonal/>
    </border>
    <border>
      <left/>
      <right style="medium">
        <color theme="6"/>
      </right>
      <top style="medium">
        <color theme="6"/>
      </top>
      <bottom/>
      <diagonal/>
    </border>
    <border>
      <left style="medium">
        <color theme="6"/>
      </left>
      <right style="medium">
        <color theme="6"/>
      </right>
      <top/>
      <bottom/>
      <diagonal/>
    </border>
    <border>
      <left style="medium">
        <color theme="0"/>
      </left>
      <right/>
      <top/>
      <bottom/>
      <diagonal/>
    </border>
    <border>
      <left style="medium">
        <color theme="8"/>
      </left>
      <right style="medium">
        <color rgb="FFFFFFFF"/>
      </right>
      <top style="medium">
        <color theme="8"/>
      </top>
      <bottom/>
      <diagonal/>
    </border>
    <border>
      <left style="medium">
        <color theme="8"/>
      </left>
      <right style="medium">
        <color rgb="FFFFFFFF"/>
      </right>
      <top/>
      <bottom/>
      <diagonal/>
    </border>
    <border>
      <left style="medium">
        <color theme="8"/>
      </left>
      <right style="medium">
        <color rgb="FFFFFFFF"/>
      </right>
      <top/>
      <bottom style="medium">
        <color theme="0"/>
      </bottom>
      <diagonal/>
    </border>
    <border>
      <left style="medium">
        <color theme="8"/>
      </left>
      <right style="medium">
        <color theme="8"/>
      </right>
      <top style="medium">
        <color theme="8"/>
      </top>
      <bottom/>
      <diagonal/>
    </border>
    <border>
      <left style="medium">
        <color theme="0"/>
      </left>
      <right style="medium">
        <color theme="0"/>
      </right>
      <top style="medium">
        <color theme="8"/>
      </top>
      <bottom style="medium">
        <color theme="0"/>
      </bottom>
      <diagonal/>
    </border>
    <border>
      <left style="medium">
        <color theme="6"/>
      </left>
      <right/>
      <top style="medium">
        <color theme="6"/>
      </top>
      <bottom style="thin">
        <color theme="6"/>
      </bottom>
      <diagonal/>
    </border>
    <border>
      <left style="medium">
        <color theme="6"/>
      </left>
      <right/>
      <top style="thin">
        <color theme="6"/>
      </top>
      <bottom style="thin">
        <color theme="6"/>
      </bottom>
      <diagonal/>
    </border>
    <border>
      <left style="medium">
        <color theme="6"/>
      </left>
      <right/>
      <top style="thin">
        <color theme="6"/>
      </top>
      <bottom style="medium">
        <color theme="6"/>
      </bottom>
      <diagonal/>
    </border>
    <border>
      <left/>
      <right style="medium">
        <color theme="6"/>
      </right>
      <top style="medium">
        <color theme="6"/>
      </top>
      <bottom style="thin">
        <color theme="6"/>
      </bottom>
      <diagonal/>
    </border>
    <border>
      <left/>
      <right style="medium">
        <color theme="6"/>
      </right>
      <top style="thin">
        <color theme="6"/>
      </top>
      <bottom style="thin">
        <color theme="6"/>
      </bottom>
      <diagonal/>
    </border>
    <border>
      <left/>
      <right style="medium">
        <color theme="6"/>
      </right>
      <top style="thin">
        <color theme="6"/>
      </top>
      <bottom style="medium">
        <color theme="6"/>
      </bottom>
      <diagonal/>
    </border>
    <border>
      <left style="medium">
        <color theme="6"/>
      </left>
      <right style="medium">
        <color theme="6"/>
      </right>
      <top style="medium">
        <color theme="6"/>
      </top>
      <bottom style="thin">
        <color theme="6"/>
      </bottom>
      <diagonal/>
    </border>
    <border>
      <left style="medium">
        <color theme="6"/>
      </left>
      <right style="medium">
        <color theme="6"/>
      </right>
      <top style="thin">
        <color theme="6"/>
      </top>
      <bottom style="thin">
        <color theme="6"/>
      </bottom>
      <diagonal/>
    </border>
    <border>
      <left style="medium">
        <color theme="6"/>
      </left>
      <right style="medium">
        <color theme="6"/>
      </right>
      <top style="thin">
        <color theme="6"/>
      </top>
      <bottom style="medium">
        <color theme="6"/>
      </bottom>
      <diagonal/>
    </border>
    <border>
      <left style="medium">
        <color theme="6"/>
      </left>
      <right/>
      <top style="medium">
        <color theme="6"/>
      </top>
      <bottom style="medium">
        <color rgb="FFFFFFFF"/>
      </bottom>
      <diagonal/>
    </border>
    <border>
      <left/>
      <right/>
      <top style="medium">
        <color theme="6"/>
      </top>
      <bottom style="medium">
        <color rgb="FFFFFFFF"/>
      </bottom>
      <diagonal/>
    </border>
    <border>
      <left/>
      <right style="medium">
        <color theme="6"/>
      </right>
      <top style="medium">
        <color theme="6"/>
      </top>
      <bottom style="medium">
        <color rgb="FFFFFFFF"/>
      </bottom>
      <diagonal/>
    </border>
    <border>
      <left style="medium">
        <color theme="0"/>
      </left>
      <right/>
      <top style="medium">
        <color theme="6"/>
      </top>
      <bottom/>
      <diagonal/>
    </border>
    <border>
      <left style="medium">
        <color theme="0"/>
      </left>
      <right style="medium">
        <color theme="0"/>
      </right>
      <top style="medium">
        <color theme="6"/>
      </top>
      <bottom style="medium">
        <color theme="0"/>
      </bottom>
      <diagonal/>
    </border>
    <border>
      <left style="medium">
        <color theme="6"/>
      </left>
      <right style="medium">
        <color theme="6"/>
      </right>
      <top/>
      <bottom style="medium">
        <color theme="6"/>
      </bottom>
      <diagonal/>
    </border>
    <border>
      <left style="medium">
        <color theme="6"/>
      </left>
      <right style="medium">
        <color theme="0"/>
      </right>
      <top style="medium">
        <color theme="6"/>
      </top>
      <bottom style="medium">
        <color theme="0"/>
      </bottom>
      <diagonal/>
    </border>
    <border>
      <left style="medium">
        <color theme="6"/>
      </left>
      <right/>
      <top style="medium">
        <color rgb="FFFFFFFF"/>
      </top>
      <bottom style="medium">
        <color theme="0"/>
      </bottom>
      <diagonal/>
    </border>
    <border>
      <left/>
      <right/>
      <top style="medium">
        <color rgb="FFFFFFFF"/>
      </top>
      <bottom style="medium">
        <color theme="0"/>
      </bottom>
      <diagonal/>
    </border>
    <border>
      <left/>
      <right style="medium">
        <color theme="6"/>
      </right>
      <top style="medium">
        <color rgb="FFFFFFFF"/>
      </top>
      <bottom style="medium">
        <color theme="0"/>
      </bottom>
      <diagonal/>
    </border>
    <border>
      <left style="medium">
        <color rgb="FFFFFFFF"/>
      </left>
      <right style="thin">
        <color theme="6"/>
      </right>
      <top style="medium">
        <color theme="6"/>
      </top>
      <bottom style="medium">
        <color theme="6"/>
      </bottom>
      <diagonal/>
    </border>
    <border>
      <left/>
      <right style="medium">
        <color rgb="FF009AAA"/>
      </right>
      <top style="medium">
        <color theme="7"/>
      </top>
      <bottom style="medium">
        <color theme="7"/>
      </bottom>
      <diagonal/>
    </border>
    <border>
      <left style="medium">
        <color theme="7"/>
      </left>
      <right style="medium">
        <color theme="7"/>
      </right>
      <top/>
      <bottom/>
      <diagonal/>
    </border>
    <border>
      <left style="medium">
        <color theme="7"/>
      </left>
      <right style="medium">
        <color rgb="FFFFFFFF"/>
      </right>
      <top style="medium">
        <color theme="7"/>
      </top>
      <bottom/>
      <diagonal/>
    </border>
    <border>
      <left style="medium">
        <color theme="7"/>
      </left>
      <right style="medium">
        <color rgb="FFFFFFFF"/>
      </right>
      <top/>
      <bottom/>
      <diagonal/>
    </border>
    <border>
      <left/>
      <right/>
      <top style="medium">
        <color theme="7"/>
      </top>
      <bottom/>
      <diagonal/>
    </border>
    <border>
      <left style="medium">
        <color rgb="FF009AAA"/>
      </left>
      <right/>
      <top style="medium">
        <color theme="7"/>
      </top>
      <bottom style="medium">
        <color theme="7"/>
      </bottom>
      <diagonal/>
    </border>
    <border>
      <left style="medium">
        <color theme="7"/>
      </left>
      <right/>
      <top/>
      <bottom/>
      <diagonal/>
    </border>
    <border>
      <left/>
      <right style="medium">
        <color theme="6"/>
      </right>
      <top style="medium">
        <color theme="6"/>
      </top>
      <bottom style="medium">
        <color theme="6"/>
      </bottom>
      <diagonal/>
    </border>
    <border>
      <left/>
      <right/>
      <top style="medium">
        <color theme="6"/>
      </top>
      <bottom style="medium">
        <color theme="6"/>
      </bottom>
      <diagonal/>
    </border>
    <border>
      <left/>
      <right/>
      <top/>
      <bottom style="medium">
        <color theme="4" tint="0.39997558519241921"/>
      </bottom>
      <diagonal/>
    </border>
    <border>
      <left style="medium">
        <color theme="8"/>
      </left>
      <right style="medium">
        <color theme="0"/>
      </right>
      <top style="medium">
        <color theme="8"/>
      </top>
      <bottom style="medium">
        <color theme="0"/>
      </bottom>
      <diagonal/>
    </border>
    <border>
      <left/>
      <right style="medium">
        <color rgb="FFFFFFFF"/>
      </right>
      <top style="medium">
        <color theme="8"/>
      </top>
      <bottom style="medium">
        <color theme="0"/>
      </bottom>
      <diagonal/>
    </border>
    <border>
      <left style="medium">
        <color theme="8"/>
      </left>
      <right style="medium">
        <color theme="8"/>
      </right>
      <top/>
      <bottom style="medium">
        <color theme="4" tint="0.39997558519241921"/>
      </bottom>
      <diagonal/>
    </border>
    <border>
      <left/>
      <right/>
      <top style="medium">
        <color theme="8"/>
      </top>
      <bottom style="medium">
        <color theme="4" tint="0.39997558519241921"/>
      </bottom>
      <diagonal/>
    </border>
    <border>
      <left style="medium">
        <color theme="8"/>
      </left>
      <right style="medium">
        <color theme="8"/>
      </right>
      <top style="medium">
        <color theme="4" tint="0.39997558519241921"/>
      </top>
      <bottom/>
      <diagonal/>
    </border>
    <border>
      <left style="medium">
        <color rgb="FFFFFFFF"/>
      </left>
      <right style="medium">
        <color theme="4" tint="0.39997558519241921"/>
      </right>
      <top style="medium">
        <color theme="8"/>
      </top>
      <bottom style="medium">
        <color rgb="FFFFFFFF"/>
      </bottom>
      <diagonal/>
    </border>
    <border>
      <left style="medium">
        <color theme="8"/>
      </left>
      <right/>
      <top style="medium">
        <color theme="0"/>
      </top>
      <bottom/>
      <diagonal/>
    </border>
    <border>
      <left/>
      <right/>
      <top style="medium">
        <color theme="0"/>
      </top>
      <bottom/>
      <diagonal/>
    </border>
    <border>
      <left/>
      <right/>
      <top style="medium">
        <color theme="4" tint="0.39997558519241921"/>
      </top>
      <bottom/>
      <diagonal/>
    </border>
    <border>
      <left/>
      <right style="medium">
        <color rgb="FF009AAA"/>
      </right>
      <top/>
      <bottom/>
      <diagonal/>
    </border>
    <border>
      <left/>
      <right style="medium">
        <color rgb="FF009AAA"/>
      </right>
      <top style="medium">
        <color theme="4" tint="0.39997558519241921"/>
      </top>
      <bottom/>
      <diagonal/>
    </border>
    <border>
      <left/>
      <right style="medium">
        <color rgb="FF009AAA"/>
      </right>
      <top/>
      <bottom style="medium">
        <color theme="8"/>
      </bottom>
      <diagonal/>
    </border>
    <border>
      <left style="medium">
        <color theme="8"/>
      </left>
      <right style="medium">
        <color theme="8"/>
      </right>
      <top style="medium">
        <color theme="8"/>
      </top>
      <bottom style="medium">
        <color rgb="FF009AAA"/>
      </bottom>
      <diagonal/>
    </border>
    <border>
      <left style="medium">
        <color theme="8"/>
      </left>
      <right style="medium">
        <color rgb="FF009AAA"/>
      </right>
      <top/>
      <bottom style="medium">
        <color theme="8"/>
      </bottom>
      <diagonal/>
    </border>
    <border>
      <left/>
      <right style="medium">
        <color theme="8"/>
      </right>
      <top/>
      <bottom style="medium">
        <color theme="8"/>
      </bottom>
      <diagonal/>
    </border>
    <border>
      <left style="medium">
        <color theme="8"/>
      </left>
      <right style="medium">
        <color rgb="FF009AAA"/>
      </right>
      <top/>
      <bottom/>
      <diagonal/>
    </border>
    <border>
      <left/>
      <right style="medium">
        <color theme="8"/>
      </right>
      <top style="medium">
        <color theme="8"/>
      </top>
      <bottom style="medium">
        <color theme="8"/>
      </bottom>
      <diagonal/>
    </border>
    <border>
      <left/>
      <right/>
      <top style="medium">
        <color theme="8"/>
      </top>
      <bottom style="medium">
        <color theme="8"/>
      </bottom>
      <diagonal/>
    </border>
    <border>
      <left style="medium">
        <color theme="8"/>
      </left>
      <right/>
      <top/>
      <bottom style="medium">
        <color theme="8"/>
      </bottom>
      <diagonal/>
    </border>
    <border>
      <left/>
      <right style="medium">
        <color theme="8"/>
      </right>
      <top style="medium">
        <color theme="8"/>
      </top>
      <bottom/>
      <diagonal/>
    </border>
    <border>
      <left style="medium">
        <color theme="0"/>
      </left>
      <right style="medium">
        <color theme="0"/>
      </right>
      <top/>
      <bottom style="medium">
        <color theme="0"/>
      </bottom>
      <diagonal/>
    </border>
    <border>
      <left/>
      <right/>
      <top/>
      <bottom style="medium">
        <color theme="0"/>
      </bottom>
      <diagonal/>
    </border>
    <border>
      <left style="medium">
        <color theme="8"/>
      </left>
      <right style="medium">
        <color theme="8"/>
      </right>
      <top style="medium">
        <color theme="0"/>
      </top>
      <bottom style="medium">
        <color theme="8"/>
      </bottom>
      <diagonal/>
    </border>
    <border>
      <left style="medium">
        <color theme="8"/>
      </left>
      <right style="medium">
        <color theme="8"/>
      </right>
      <top style="medium">
        <color rgb="FFFFFFFF"/>
      </top>
      <bottom style="medium">
        <color theme="8"/>
      </bottom>
      <diagonal/>
    </border>
    <border>
      <left style="medium">
        <color theme="8"/>
      </left>
      <right style="medium">
        <color theme="8"/>
      </right>
      <top style="medium">
        <color theme="0"/>
      </top>
      <bottom/>
      <diagonal/>
    </border>
    <border>
      <left style="medium">
        <color rgb="FFFFFFFF"/>
      </left>
      <right style="medium">
        <color theme="8"/>
      </right>
      <top/>
      <bottom/>
      <diagonal/>
    </border>
    <border>
      <left/>
      <right style="medium">
        <color theme="8"/>
      </right>
      <top style="medium">
        <color theme="4" tint="0.39997558519241921"/>
      </top>
      <bottom/>
      <diagonal/>
    </border>
    <border>
      <left/>
      <right style="medium">
        <color theme="8"/>
      </right>
      <top/>
      <bottom style="medium">
        <color theme="4" tint="0.39997558519241921"/>
      </bottom>
      <diagonal/>
    </border>
    <border>
      <left/>
      <right style="medium">
        <color rgb="FF009AAA"/>
      </right>
      <top style="medium">
        <color theme="0"/>
      </top>
      <bottom/>
      <diagonal/>
    </border>
    <border>
      <left style="medium">
        <color theme="8"/>
      </left>
      <right/>
      <top style="medium">
        <color theme="4" tint="0.39997558519241921"/>
      </top>
      <bottom/>
      <diagonal/>
    </border>
    <border>
      <left/>
      <right style="medium">
        <color rgb="FF009AAA"/>
      </right>
      <top style="medium">
        <color theme="8"/>
      </top>
      <bottom/>
      <diagonal/>
    </border>
    <border>
      <left style="medium">
        <color theme="8"/>
      </left>
      <right style="medium">
        <color rgb="FF009AAA"/>
      </right>
      <top style="medium">
        <color theme="8"/>
      </top>
      <bottom/>
      <diagonal/>
    </border>
    <border>
      <left style="medium">
        <color rgb="FF009AAA"/>
      </left>
      <right style="medium">
        <color theme="8"/>
      </right>
      <top/>
      <bottom style="medium">
        <color theme="8"/>
      </bottom>
      <diagonal/>
    </border>
    <border>
      <left style="medium">
        <color rgb="FF009AAA"/>
      </left>
      <right style="medium">
        <color theme="8"/>
      </right>
      <top style="medium">
        <color theme="8"/>
      </top>
      <bottom/>
      <diagonal/>
    </border>
    <border>
      <left/>
      <right style="medium">
        <color theme="8"/>
      </right>
      <top style="medium">
        <color theme="0"/>
      </top>
      <bottom/>
      <diagonal/>
    </border>
    <border>
      <left/>
      <right style="medium">
        <color theme="0"/>
      </right>
      <top/>
      <bottom/>
      <diagonal/>
    </border>
    <border>
      <left/>
      <right style="medium">
        <color theme="0"/>
      </right>
      <top/>
      <bottom style="medium">
        <color theme="0"/>
      </bottom>
      <diagonal/>
    </border>
    <border>
      <left/>
      <right style="medium">
        <color theme="6"/>
      </right>
      <top/>
      <bottom style="thin">
        <color theme="6"/>
      </bottom>
      <diagonal/>
    </border>
    <border>
      <left/>
      <right style="medium">
        <color theme="6"/>
      </right>
      <top style="thin">
        <color theme="6"/>
      </top>
      <bottom/>
      <diagonal/>
    </border>
    <border>
      <left style="medium">
        <color theme="8"/>
      </left>
      <right/>
      <top style="medium">
        <color theme="0"/>
      </top>
      <bottom style="medium">
        <color theme="8"/>
      </bottom>
      <diagonal/>
    </border>
    <border>
      <left/>
      <right/>
      <top style="medium">
        <color theme="0"/>
      </top>
      <bottom style="medium">
        <color theme="8"/>
      </bottom>
      <diagonal/>
    </border>
    <border>
      <left style="medium">
        <color theme="6"/>
      </left>
      <right/>
      <top style="medium">
        <color theme="6"/>
      </top>
      <bottom/>
      <diagonal/>
    </border>
    <border>
      <left/>
      <right/>
      <top style="medium">
        <color theme="6"/>
      </top>
      <bottom/>
      <diagonal/>
    </border>
    <border>
      <left style="medium">
        <color theme="7"/>
      </left>
      <right/>
      <top/>
      <bottom style="medium">
        <color theme="7"/>
      </bottom>
      <diagonal/>
    </border>
    <border>
      <left style="medium">
        <color rgb="FF009AAA"/>
      </left>
      <right/>
      <top style="medium">
        <color rgb="FF009AAA"/>
      </top>
      <bottom style="medium">
        <color rgb="FF009AAA"/>
      </bottom>
      <diagonal/>
    </border>
    <border>
      <left/>
      <right/>
      <top style="medium">
        <color rgb="FF009AAA"/>
      </top>
      <bottom style="medium">
        <color rgb="FF009AAA"/>
      </bottom>
      <diagonal/>
    </border>
    <border>
      <left/>
      <right style="medium">
        <color rgb="FF009AAA"/>
      </right>
      <top style="medium">
        <color rgb="FF009AAA"/>
      </top>
      <bottom style="medium">
        <color rgb="FF009AAA"/>
      </bottom>
      <diagonal/>
    </border>
    <border>
      <left style="medium">
        <color rgb="FF009AAA"/>
      </left>
      <right style="medium">
        <color rgb="FF009AAA"/>
      </right>
      <top/>
      <bottom style="medium">
        <color rgb="FF009AAA"/>
      </bottom>
      <diagonal/>
    </border>
    <border>
      <left/>
      <right style="medium">
        <color theme="7"/>
      </right>
      <top/>
      <bottom/>
      <diagonal/>
    </border>
    <border>
      <left style="medium">
        <color rgb="FF009AAA"/>
      </left>
      <right/>
      <top/>
      <bottom style="medium">
        <color rgb="FF009AAA"/>
      </bottom>
      <diagonal/>
    </border>
    <border>
      <left style="medium">
        <color rgb="FF009AAA"/>
      </left>
      <right/>
      <top/>
      <bottom/>
      <diagonal/>
    </border>
    <border>
      <left/>
      <right style="medium">
        <color rgb="FF009AAA"/>
      </right>
      <top/>
      <bottom style="medium">
        <color rgb="FF009AAA"/>
      </bottom>
      <diagonal/>
    </border>
    <border>
      <left style="medium">
        <color theme="6"/>
      </left>
      <right/>
      <top/>
      <bottom style="medium">
        <color theme="6"/>
      </bottom>
      <diagonal/>
    </border>
    <border>
      <left/>
      <right style="medium">
        <color theme="6"/>
      </right>
      <top/>
      <bottom style="medium">
        <color theme="6"/>
      </bottom>
      <diagonal/>
    </border>
    <border>
      <left/>
      <right/>
      <top/>
      <bottom style="medium">
        <color theme="6"/>
      </bottom>
      <diagonal/>
    </border>
    <border>
      <left/>
      <right style="medium">
        <color rgb="FFFFFFFF"/>
      </right>
      <top style="medium">
        <color theme="7"/>
      </top>
      <bottom/>
      <diagonal/>
    </border>
    <border>
      <left style="medium">
        <color rgb="FF009AAA"/>
      </left>
      <right/>
      <top style="medium">
        <color rgb="FF009AAA"/>
      </top>
      <bottom/>
      <diagonal/>
    </border>
    <border>
      <left/>
      <right/>
      <top style="medium">
        <color rgb="FF009AAA"/>
      </top>
      <bottom/>
      <diagonal/>
    </border>
    <border>
      <left/>
      <right style="medium">
        <color rgb="FF009AAA"/>
      </right>
      <top style="medium">
        <color rgb="FF009AAA"/>
      </top>
      <bottom/>
      <diagonal/>
    </border>
    <border>
      <left/>
      <right/>
      <top/>
      <bottom style="medium">
        <color rgb="FF009AAA"/>
      </bottom>
      <diagonal/>
    </border>
    <border>
      <left style="medium">
        <color theme="0"/>
      </left>
      <right style="medium">
        <color theme="0"/>
      </right>
      <top/>
      <bottom/>
      <diagonal/>
    </border>
    <border>
      <left style="medium">
        <color theme="8"/>
      </left>
      <right/>
      <top/>
      <bottom style="medium">
        <color rgb="FF009AAA"/>
      </bottom>
      <diagonal/>
    </border>
    <border>
      <left/>
      <right style="medium">
        <color theme="8"/>
      </right>
      <top/>
      <bottom style="medium">
        <color rgb="FF009AAA"/>
      </bottom>
      <diagonal/>
    </border>
    <border>
      <left/>
      <right style="medium">
        <color theme="8"/>
      </right>
      <top style="medium">
        <color rgb="FF009AAA"/>
      </top>
      <bottom/>
      <diagonal/>
    </border>
    <border>
      <left style="medium">
        <color rgb="FF009AAA"/>
      </left>
      <right style="medium">
        <color rgb="FF009AAA"/>
      </right>
      <top style="medium">
        <color rgb="FF009AAA"/>
      </top>
      <bottom/>
      <diagonal/>
    </border>
    <border>
      <left style="medium">
        <color rgb="FF009AAA"/>
      </left>
      <right style="medium">
        <color rgb="FF009AAA"/>
      </right>
      <top/>
      <bottom/>
      <diagonal/>
    </border>
    <border>
      <left style="medium">
        <color indexed="64"/>
      </left>
      <right/>
      <top/>
      <bottom/>
      <diagonal/>
    </border>
  </borders>
  <cellStyleXfs count="8">
    <xf numFmtId="0" fontId="0"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0" fontId="55" fillId="0" borderId="0" applyNumberFormat="0" applyFill="0" applyBorder="0" applyAlignment="0" applyProtection="0"/>
    <xf numFmtId="0" fontId="2" fillId="0" borderId="0"/>
    <xf numFmtId="0" fontId="83" fillId="0" borderId="0"/>
  </cellStyleXfs>
  <cellXfs count="794">
    <xf numFmtId="0" fontId="0" fillId="0" borderId="0" xfId="0"/>
    <xf numFmtId="0" fontId="3" fillId="0" borderId="0" xfId="0" applyFont="1"/>
    <xf numFmtId="0" fontId="8" fillId="2" borderId="0" xfId="0" applyFont="1" applyFill="1"/>
    <xf numFmtId="0" fontId="10" fillId="0" borderId="0" xfId="0" applyFont="1" applyAlignment="1">
      <alignment vertical="center"/>
    </xf>
    <xf numFmtId="0" fontId="8" fillId="2" borderId="0" xfId="0" applyFont="1" applyFill="1" applyAlignment="1">
      <alignment vertical="center"/>
    </xf>
    <xf numFmtId="0" fontId="0" fillId="0" borderId="3" xfId="0" applyBorder="1"/>
    <xf numFmtId="0" fontId="0" fillId="0" borderId="4" xfId="0" applyBorder="1"/>
    <xf numFmtId="0" fontId="0" fillId="0" borderId="10" xfId="0" applyBorder="1"/>
    <xf numFmtId="2" fontId="5" fillId="10" borderId="5" xfId="0" applyNumberFormat="1" applyFont="1" applyFill="1" applyBorder="1" applyAlignment="1">
      <alignment horizontal="center" vertical="center" wrapText="1"/>
    </xf>
    <xf numFmtId="0" fontId="4" fillId="9" borderId="15" xfId="0" applyFont="1" applyFill="1" applyBorder="1" applyAlignment="1">
      <alignment horizontal="center" vertical="center" wrapText="1"/>
    </xf>
    <xf numFmtId="0" fontId="15" fillId="9" borderId="16" xfId="0" applyFont="1" applyFill="1" applyBorder="1" applyAlignment="1">
      <alignment horizontal="center" vertical="center" wrapText="1"/>
    </xf>
    <xf numFmtId="0" fontId="15" fillId="9" borderId="17" xfId="0" applyFont="1" applyFill="1" applyBorder="1" applyAlignment="1">
      <alignment horizontal="center" vertical="center" wrapText="1"/>
    </xf>
    <xf numFmtId="0" fontId="4" fillId="9" borderId="18" xfId="0" applyFont="1" applyFill="1" applyBorder="1" applyAlignment="1">
      <alignment horizontal="center" vertical="center" wrapText="1"/>
    </xf>
    <xf numFmtId="0" fontId="17" fillId="6" borderId="14" xfId="2" applyFont="1" applyFill="1" applyBorder="1" applyAlignment="1">
      <alignment horizontal="center" vertical="center" wrapText="1"/>
    </xf>
    <xf numFmtId="0" fontId="28" fillId="8" borderId="14" xfId="0" applyFont="1" applyFill="1" applyBorder="1" applyAlignment="1">
      <alignment horizontal="center" vertical="center" wrapText="1"/>
    </xf>
    <xf numFmtId="0" fontId="17" fillId="3" borderId="14" xfId="2" applyFont="1" applyFill="1" applyBorder="1" applyAlignment="1">
      <alignment horizontal="center" vertical="center" wrapText="1"/>
    </xf>
    <xf numFmtId="0" fontId="17" fillId="5" borderId="14" xfId="2" applyFont="1" applyFill="1" applyBorder="1" applyAlignment="1">
      <alignment horizontal="center" vertical="center" wrapText="1"/>
    </xf>
    <xf numFmtId="0" fontId="15" fillId="9" borderId="19" xfId="2" applyFont="1" applyFill="1" applyBorder="1" applyAlignment="1">
      <alignment horizontal="center" vertical="center" wrapText="1"/>
    </xf>
    <xf numFmtId="0" fontId="15" fillId="9" borderId="20" xfId="2" applyFont="1" applyFill="1" applyBorder="1" applyAlignment="1">
      <alignment horizontal="center" vertical="center" wrapText="1"/>
    </xf>
    <xf numFmtId="0" fontId="15" fillId="9" borderId="21" xfId="2" applyFont="1" applyFill="1" applyBorder="1" applyAlignment="1">
      <alignment horizontal="center" vertical="center" wrapText="1"/>
    </xf>
    <xf numFmtId="0" fontId="17" fillId="0" borderId="14" xfId="2" applyFont="1" applyBorder="1" applyAlignment="1">
      <alignment horizontal="left" vertical="center" wrapText="1"/>
    </xf>
    <xf numFmtId="0" fontId="17" fillId="0" borderId="14" xfId="2" applyFont="1" applyBorder="1" applyAlignment="1">
      <alignment horizontal="center" vertical="center" wrapText="1"/>
    </xf>
    <xf numFmtId="0" fontId="21" fillId="7" borderId="14" xfId="2" applyFont="1" applyFill="1" applyBorder="1" applyAlignment="1">
      <alignment horizontal="center" vertical="center" wrapText="1"/>
    </xf>
    <xf numFmtId="0" fontId="7" fillId="3" borderId="14" xfId="2" applyFont="1" applyFill="1" applyBorder="1" applyAlignment="1">
      <alignment horizontal="center" vertical="center" wrapText="1"/>
    </xf>
    <xf numFmtId="0" fontId="18" fillId="3" borderId="14" xfId="2" applyFont="1" applyFill="1" applyBorder="1" applyAlignment="1">
      <alignment horizontal="left" vertical="center" wrapText="1"/>
    </xf>
    <xf numFmtId="0" fontId="18" fillId="11" borderId="14" xfId="2" applyFont="1" applyFill="1" applyBorder="1" applyAlignment="1">
      <alignment horizontal="left" vertical="center" wrapText="1"/>
    </xf>
    <xf numFmtId="0" fontId="7" fillId="11" borderId="14" xfId="2" applyFont="1" applyFill="1" applyBorder="1" applyAlignment="1">
      <alignment horizontal="center" vertical="center" wrapText="1"/>
    </xf>
    <xf numFmtId="0" fontId="18" fillId="10" borderId="14" xfId="2" applyFont="1" applyFill="1" applyBorder="1" applyAlignment="1">
      <alignment horizontal="left" vertical="center" wrapText="1"/>
    </xf>
    <xf numFmtId="0" fontId="7" fillId="10" borderId="14" xfId="2" applyFont="1" applyFill="1" applyBorder="1" applyAlignment="1">
      <alignment horizontal="center" vertical="center" wrapText="1"/>
    </xf>
    <xf numFmtId="0" fontId="8" fillId="0" borderId="0" xfId="0" applyFont="1" applyAlignment="1">
      <alignment vertical="center"/>
    </xf>
    <xf numFmtId="0" fontId="23" fillId="0" borderId="0" xfId="0" applyFont="1" applyAlignment="1">
      <alignment horizontal="center" vertical="center"/>
    </xf>
    <xf numFmtId="0" fontId="31" fillId="0" borderId="0" xfId="0" applyFont="1" applyAlignment="1">
      <alignment vertical="center"/>
    </xf>
    <xf numFmtId="0" fontId="18" fillId="0" borderId="0" xfId="0" applyFont="1" applyAlignment="1">
      <alignment vertical="center"/>
    </xf>
    <xf numFmtId="0" fontId="18" fillId="0" borderId="0" xfId="0" applyFont="1" applyAlignment="1">
      <alignment horizontal="right" vertical="center"/>
    </xf>
    <xf numFmtId="14" fontId="8" fillId="0" borderId="0" xfId="0" applyNumberFormat="1" applyFont="1" applyAlignment="1">
      <alignment vertical="center"/>
    </xf>
    <xf numFmtId="0" fontId="33" fillId="0" borderId="0" xfId="0" applyFont="1" applyAlignment="1">
      <alignment vertical="center"/>
    </xf>
    <xf numFmtId="167" fontId="18" fillId="0" borderId="0" xfId="0" applyNumberFormat="1" applyFont="1" applyAlignment="1">
      <alignment horizontal="right" vertical="center"/>
    </xf>
    <xf numFmtId="0" fontId="39" fillId="0" borderId="0" xfId="0" applyFont="1" applyAlignment="1">
      <alignment vertical="center"/>
    </xf>
    <xf numFmtId="0" fontId="40" fillId="0" borderId="0" xfId="0" applyFont="1" applyAlignment="1">
      <alignment vertical="center"/>
    </xf>
    <xf numFmtId="0" fontId="41" fillId="0" borderId="0" xfId="0" applyFont="1" applyAlignment="1">
      <alignment vertical="center"/>
    </xf>
    <xf numFmtId="0" fontId="41" fillId="0" borderId="0" xfId="0" applyFont="1" applyAlignment="1">
      <alignment vertical="center" wrapText="1"/>
    </xf>
    <xf numFmtId="0" fontId="22" fillId="0" borderId="0" xfId="0" applyFont="1" applyAlignment="1">
      <alignment horizontal="right" vertical="center" wrapText="1"/>
    </xf>
    <xf numFmtId="0" fontId="19" fillId="0" borderId="0" xfId="0" applyFont="1" applyAlignment="1">
      <alignment vertical="center"/>
    </xf>
    <xf numFmtId="167" fontId="19" fillId="0" borderId="0" xfId="0" applyNumberFormat="1" applyFont="1" applyAlignment="1">
      <alignment vertical="center"/>
    </xf>
    <xf numFmtId="168" fontId="18" fillId="0" borderId="0" xfId="1" applyNumberFormat="1" applyFont="1" applyFill="1" applyAlignment="1">
      <alignment vertical="center"/>
    </xf>
    <xf numFmtId="168" fontId="48" fillId="0" borderId="0" xfId="0" applyNumberFormat="1" applyFont="1" applyAlignment="1">
      <alignment vertical="center"/>
    </xf>
    <xf numFmtId="0" fontId="48" fillId="0" borderId="0" xfId="0" applyFont="1" applyAlignment="1">
      <alignment vertical="center"/>
    </xf>
    <xf numFmtId="168" fontId="18" fillId="0" borderId="0" xfId="0" applyNumberFormat="1" applyFont="1" applyAlignment="1">
      <alignment vertical="center"/>
    </xf>
    <xf numFmtId="0" fontId="24" fillId="0" borderId="0" xfId="0" applyFont="1" applyAlignment="1">
      <alignment vertical="center"/>
    </xf>
    <xf numFmtId="0" fontId="38" fillId="12" borderId="22" xfId="2" applyFont="1" applyFill="1" applyBorder="1" applyAlignment="1">
      <alignment horizontal="left" vertical="center" wrapText="1"/>
    </xf>
    <xf numFmtId="0" fontId="17" fillId="12" borderId="22" xfId="2" applyFont="1" applyFill="1" applyBorder="1" applyAlignment="1">
      <alignment horizontal="center" vertical="center" wrapText="1"/>
    </xf>
    <xf numFmtId="167" fontId="38" fillId="12" borderId="22" xfId="2" applyNumberFormat="1" applyFont="1" applyFill="1" applyBorder="1" applyAlignment="1">
      <alignment horizontal="center" vertical="center" wrapText="1"/>
    </xf>
    <xf numFmtId="167" fontId="44" fillId="12" borderId="22" xfId="2" applyNumberFormat="1" applyFont="1" applyFill="1" applyBorder="1" applyAlignment="1">
      <alignment horizontal="center" vertical="center" wrapText="1"/>
    </xf>
    <xf numFmtId="0" fontId="38" fillId="12" borderId="22" xfId="2" applyFont="1" applyFill="1" applyBorder="1" applyAlignment="1">
      <alignment horizontal="center" vertical="center" wrapText="1"/>
    </xf>
    <xf numFmtId="0" fontId="16" fillId="7" borderId="26" xfId="2" applyFont="1" applyFill="1" applyBorder="1" applyAlignment="1">
      <alignment horizontal="center" vertical="center" wrapText="1"/>
    </xf>
    <xf numFmtId="0" fontId="18" fillId="0" borderId="29" xfId="0" applyFont="1" applyBorder="1" applyAlignment="1">
      <alignment vertical="center"/>
    </xf>
    <xf numFmtId="0" fontId="18" fillId="0" borderId="30" xfId="0" applyFont="1" applyBorder="1" applyAlignment="1">
      <alignment vertical="center"/>
    </xf>
    <xf numFmtId="167" fontId="18" fillId="0" borderId="31" xfId="0" applyNumberFormat="1" applyFont="1" applyBorder="1" applyAlignment="1">
      <alignment horizontal="right" vertical="center"/>
    </xf>
    <xf numFmtId="0" fontId="36" fillId="7" borderId="26" xfId="2" applyFont="1" applyFill="1" applyBorder="1" applyAlignment="1">
      <alignment horizontal="center" vertical="center" wrapText="1"/>
    </xf>
    <xf numFmtId="167" fontId="17" fillId="12" borderId="22" xfId="2" applyNumberFormat="1" applyFont="1" applyFill="1" applyBorder="1" applyAlignment="1">
      <alignment horizontal="center" vertical="center" wrapText="1"/>
    </xf>
    <xf numFmtId="0" fontId="49" fillId="12" borderId="22" xfId="2" applyFont="1" applyFill="1" applyBorder="1" applyAlignment="1">
      <alignment horizontal="center" vertical="center" wrapText="1"/>
    </xf>
    <xf numFmtId="10" fontId="50" fillId="0" borderId="0" xfId="0" applyNumberFormat="1" applyFont="1" applyAlignment="1">
      <alignment horizontal="center"/>
    </xf>
    <xf numFmtId="2" fontId="5" fillId="0" borderId="5" xfId="0" applyNumberFormat="1" applyFont="1" applyBorder="1" applyAlignment="1">
      <alignment horizontal="center" vertical="center" wrapText="1"/>
    </xf>
    <xf numFmtId="0" fontId="4" fillId="8" borderId="32" xfId="0" applyFont="1" applyFill="1" applyBorder="1" applyAlignment="1">
      <alignment horizontal="center" vertical="center" wrapText="1"/>
    </xf>
    <xf numFmtId="2" fontId="5" fillId="0" borderId="11" xfId="0" applyNumberFormat="1" applyFont="1" applyBorder="1" applyAlignment="1">
      <alignment horizontal="center" vertical="center" wrapText="1"/>
    </xf>
    <xf numFmtId="0" fontId="4" fillId="8" borderId="33" xfId="0" applyFont="1" applyFill="1" applyBorder="1" applyAlignment="1">
      <alignment horizontal="center" vertical="center" wrapText="1"/>
    </xf>
    <xf numFmtId="2" fontId="5" fillId="10" borderId="11" xfId="0" applyNumberFormat="1" applyFont="1" applyFill="1" applyBorder="1" applyAlignment="1">
      <alignment horizontal="center" vertical="center" wrapText="1"/>
    </xf>
    <xf numFmtId="0" fontId="4" fillId="8" borderId="34" xfId="0" applyFont="1" applyFill="1" applyBorder="1" applyAlignment="1">
      <alignment horizontal="center" vertical="center" wrapText="1"/>
    </xf>
    <xf numFmtId="0" fontId="4" fillId="8" borderId="37" xfId="0" applyFont="1" applyFill="1" applyBorder="1" applyAlignment="1">
      <alignment horizontal="center" vertical="center" wrapText="1"/>
    </xf>
    <xf numFmtId="0" fontId="4" fillId="8" borderId="38" xfId="0" applyFont="1" applyFill="1" applyBorder="1" applyAlignment="1">
      <alignment horizontal="center" vertical="center" wrapText="1"/>
    </xf>
    <xf numFmtId="0" fontId="17" fillId="0" borderId="0" xfId="0" applyFont="1"/>
    <xf numFmtId="0" fontId="17" fillId="14" borderId="0" xfId="0" applyFont="1" applyFill="1"/>
    <xf numFmtId="0" fontId="53" fillId="4" borderId="0" xfId="0" applyFont="1" applyFill="1"/>
    <xf numFmtId="164" fontId="0" fillId="0" borderId="0" xfId="3" applyFont="1"/>
    <xf numFmtId="10" fontId="0" fillId="0" borderId="0" xfId="1" applyNumberFormat="1" applyFont="1"/>
    <xf numFmtId="164" fontId="0" fillId="0" borderId="0" xfId="3" applyFont="1" applyFill="1"/>
    <xf numFmtId="164" fontId="0" fillId="4" borderId="0" xfId="3" applyFont="1" applyFill="1"/>
    <xf numFmtId="164" fontId="0" fillId="14" borderId="0" xfId="3" applyFont="1" applyFill="1"/>
    <xf numFmtId="164" fontId="0" fillId="0" borderId="0" xfId="3" applyFont="1" applyFill="1" applyAlignment="1">
      <alignment horizontal="center"/>
    </xf>
    <xf numFmtId="164" fontId="0" fillId="4" borderId="0" xfId="3" applyFont="1" applyFill="1" applyAlignment="1">
      <alignment horizontal="center"/>
    </xf>
    <xf numFmtId="164" fontId="0" fillId="0" borderId="0" xfId="3" applyFont="1" applyAlignment="1">
      <alignment horizontal="center"/>
    </xf>
    <xf numFmtId="164" fontId="0" fillId="14" borderId="0" xfId="3" applyFont="1" applyFill="1" applyAlignment="1">
      <alignment horizontal="center"/>
    </xf>
    <xf numFmtId="10" fontId="0" fillId="0" borderId="0" xfId="1" applyNumberFormat="1" applyFont="1" applyFill="1"/>
    <xf numFmtId="10" fontId="0" fillId="4" borderId="0" xfId="1" applyNumberFormat="1" applyFont="1" applyFill="1"/>
    <xf numFmtId="10" fontId="0" fillId="14" borderId="0" xfId="1" applyNumberFormat="1" applyFont="1" applyFill="1"/>
    <xf numFmtId="0" fontId="17" fillId="0" borderId="0" xfId="0" applyFont="1" applyAlignment="1">
      <alignment horizontal="center" vertical="center" wrapText="1"/>
    </xf>
    <xf numFmtId="0" fontId="23" fillId="0" borderId="0" xfId="0" applyFont="1" applyAlignment="1">
      <alignment horizontal="left" vertical="center"/>
    </xf>
    <xf numFmtId="0" fontId="4" fillId="8" borderId="35" xfId="0" applyFont="1" applyFill="1" applyBorder="1" applyAlignment="1">
      <alignment horizontal="center" vertical="center" wrapText="1"/>
    </xf>
    <xf numFmtId="0" fontId="6" fillId="0" borderId="0" xfId="0" applyFont="1" applyAlignment="1">
      <alignment vertical="center" wrapText="1"/>
    </xf>
    <xf numFmtId="0" fontId="6" fillId="0" borderId="47" xfId="0" applyFont="1" applyBorder="1" applyAlignment="1">
      <alignment vertical="center" wrapText="1"/>
    </xf>
    <xf numFmtId="0" fontId="6" fillId="0" borderId="48" xfId="0" applyFont="1" applyBorder="1" applyAlignment="1">
      <alignment vertical="center" wrapText="1"/>
    </xf>
    <xf numFmtId="2" fontId="0" fillId="0" borderId="4" xfId="0" applyNumberFormat="1" applyBorder="1"/>
    <xf numFmtId="0" fontId="6" fillId="0" borderId="49" xfId="0" applyFont="1" applyBorder="1" applyAlignment="1">
      <alignment vertical="center" wrapText="1"/>
    </xf>
    <xf numFmtId="0" fontId="17" fillId="0" borderId="0" xfId="0" applyFont="1" applyAlignment="1">
      <alignment horizontal="center" vertical="center"/>
    </xf>
    <xf numFmtId="0" fontId="4" fillId="8" borderId="51" xfId="0" applyFont="1" applyFill="1" applyBorder="1" applyAlignment="1">
      <alignment horizontal="center" vertical="center" wrapText="1"/>
    </xf>
    <xf numFmtId="0" fontId="8" fillId="0" borderId="0" xfId="0" applyFont="1"/>
    <xf numFmtId="0" fontId="0" fillId="4" borderId="0" xfId="0" applyFill="1"/>
    <xf numFmtId="0" fontId="34" fillId="0" borderId="13" xfId="2" applyFont="1" applyBorder="1" applyAlignment="1">
      <alignment horizontal="center" vertical="center" wrapText="1"/>
    </xf>
    <xf numFmtId="0" fontId="16" fillId="6" borderId="64" xfId="2" applyFont="1" applyFill="1" applyBorder="1" applyAlignment="1">
      <alignment horizontal="center" vertical="center" wrapText="1"/>
    </xf>
    <xf numFmtId="0" fontId="16" fillId="6" borderId="65" xfId="2" applyFont="1" applyFill="1" applyBorder="1" applyAlignment="1">
      <alignment horizontal="center" vertical="center" wrapText="1"/>
    </xf>
    <xf numFmtId="0" fontId="16" fillId="6" borderId="67" xfId="2" applyFont="1" applyFill="1" applyBorder="1" applyAlignment="1">
      <alignment horizontal="center" vertical="center" wrapText="1"/>
    </xf>
    <xf numFmtId="0" fontId="55" fillId="0" borderId="66" xfId="5" applyBorder="1" applyAlignment="1">
      <alignment horizontal="center" vertical="center" wrapText="1"/>
    </xf>
    <xf numFmtId="0" fontId="21" fillId="8" borderId="14" xfId="2" applyFont="1" applyFill="1" applyBorder="1" applyAlignment="1">
      <alignment horizontal="center" vertical="center" wrapText="1"/>
    </xf>
    <xf numFmtId="0" fontId="21" fillId="17" borderId="14" xfId="2" applyFont="1" applyFill="1" applyBorder="1" applyAlignment="1">
      <alignment horizontal="center" vertical="center" wrapText="1"/>
    </xf>
    <xf numFmtId="0" fontId="18" fillId="16" borderId="14" xfId="2" applyFont="1" applyFill="1" applyBorder="1" applyAlignment="1">
      <alignment horizontal="left" vertical="center" wrapText="1"/>
    </xf>
    <xf numFmtId="0" fontId="7" fillId="16" borderId="14" xfId="2" applyFont="1" applyFill="1" applyBorder="1" applyAlignment="1">
      <alignment horizontal="center" vertical="center" wrapText="1"/>
    </xf>
    <xf numFmtId="0" fontId="0" fillId="0" borderId="0" xfId="0" applyAlignment="1">
      <alignment horizontal="left"/>
    </xf>
    <xf numFmtId="165" fontId="34" fillId="0" borderId="13" xfId="2" applyNumberFormat="1" applyFont="1" applyBorder="1" applyAlignment="1">
      <alignment horizontal="center" vertical="center" wrapText="1"/>
    </xf>
    <xf numFmtId="0" fontId="9" fillId="0" borderId="0" xfId="0" applyFont="1" applyAlignment="1">
      <alignment horizontal="center" vertical="center"/>
    </xf>
    <xf numFmtId="3" fontId="5" fillId="0" borderId="13" xfId="3" applyNumberFormat="1" applyFont="1" applyFill="1" applyBorder="1" applyAlignment="1">
      <alignment horizontal="right" vertical="center" wrapText="1"/>
    </xf>
    <xf numFmtId="3" fontId="8" fillId="0" borderId="13" xfId="3" applyNumberFormat="1" applyFont="1" applyFill="1" applyBorder="1" applyAlignment="1">
      <alignment horizontal="right" vertical="center" wrapText="1"/>
    </xf>
    <xf numFmtId="3" fontId="58" fillId="0" borderId="13" xfId="3" applyNumberFormat="1" applyFont="1" applyFill="1" applyBorder="1" applyAlignment="1">
      <alignment horizontal="right" vertical="center" wrapText="1"/>
    </xf>
    <xf numFmtId="10" fontId="57" fillId="0" borderId="13" xfId="3" applyNumberFormat="1" applyFont="1" applyFill="1" applyBorder="1" applyAlignment="1">
      <alignment horizontal="right" vertical="center" wrapText="1"/>
    </xf>
    <xf numFmtId="10" fontId="5" fillId="0" borderId="13" xfId="3" applyNumberFormat="1" applyFont="1" applyFill="1" applyBorder="1" applyAlignment="1">
      <alignment horizontal="right" vertical="center" wrapText="1"/>
    </xf>
    <xf numFmtId="165" fontId="56" fillId="0" borderId="13" xfId="3" applyNumberFormat="1" applyFont="1" applyFill="1" applyBorder="1" applyAlignment="1">
      <alignment horizontal="right" vertical="center" wrapText="1"/>
    </xf>
    <xf numFmtId="165" fontId="34" fillId="0" borderId="13" xfId="1" applyNumberFormat="1" applyFont="1" applyBorder="1" applyAlignment="1">
      <alignment horizontal="right" vertical="center" wrapText="1"/>
    </xf>
    <xf numFmtId="0" fontId="6" fillId="6" borderId="42" xfId="0" applyFont="1" applyFill="1" applyBorder="1" applyAlignment="1">
      <alignment horizontal="center" vertical="center" wrapText="1"/>
    </xf>
    <xf numFmtId="0" fontId="6" fillId="6" borderId="43" xfId="0" applyFont="1" applyFill="1" applyBorder="1" applyAlignment="1">
      <alignment horizontal="center" vertical="center" wrapText="1"/>
    </xf>
    <xf numFmtId="0" fontId="6" fillId="6" borderId="71" xfId="0" applyFont="1" applyFill="1" applyBorder="1" applyAlignment="1">
      <alignment horizontal="center" vertical="center" wrapText="1"/>
    </xf>
    <xf numFmtId="0" fontId="54" fillId="0" borderId="0" xfId="0" applyFont="1"/>
    <xf numFmtId="10" fontId="57" fillId="0" borderId="13" xfId="1" applyNumberFormat="1" applyFont="1" applyFill="1" applyBorder="1" applyAlignment="1">
      <alignment horizontal="center" vertical="center" wrapText="1"/>
    </xf>
    <xf numFmtId="0" fontId="7" fillId="14" borderId="40" xfId="0" applyFont="1" applyFill="1" applyBorder="1" applyAlignment="1">
      <alignment horizontal="left" vertical="center" wrapText="1"/>
    </xf>
    <xf numFmtId="3" fontId="7" fillId="14" borderId="40" xfId="0" applyNumberFormat="1" applyFont="1" applyFill="1" applyBorder="1" applyAlignment="1">
      <alignment horizontal="right" vertical="center" wrapText="1"/>
    </xf>
    <xf numFmtId="3" fontId="57" fillId="14" borderId="13" xfId="3" applyNumberFormat="1" applyFont="1" applyFill="1" applyBorder="1" applyAlignment="1">
      <alignment horizontal="right" vertical="center" wrapText="1"/>
    </xf>
    <xf numFmtId="3" fontId="24" fillId="14" borderId="13" xfId="3" applyNumberFormat="1" applyFont="1" applyFill="1" applyBorder="1" applyAlignment="1">
      <alignment horizontal="right" vertical="center" wrapText="1"/>
    </xf>
    <xf numFmtId="0" fontId="0" fillId="14" borderId="0" xfId="0" applyFill="1"/>
    <xf numFmtId="0" fontId="52" fillId="6" borderId="0" xfId="0" applyFont="1" applyFill="1" applyAlignment="1">
      <alignment vertical="center"/>
    </xf>
    <xf numFmtId="3" fontId="5" fillId="14" borderId="13" xfId="3" applyNumberFormat="1" applyFont="1" applyFill="1" applyBorder="1" applyAlignment="1">
      <alignment horizontal="right" vertical="center" wrapText="1"/>
    </xf>
    <xf numFmtId="3" fontId="8" fillId="14" borderId="13" xfId="3" applyNumberFormat="1" applyFont="1" applyFill="1" applyBorder="1" applyAlignment="1">
      <alignment horizontal="right" vertical="center" wrapText="1"/>
    </xf>
    <xf numFmtId="0" fontId="58" fillId="0" borderId="40" xfId="0" applyFont="1" applyBorder="1" applyAlignment="1">
      <alignment horizontal="right" vertical="center" wrapText="1"/>
    </xf>
    <xf numFmtId="0" fontId="42" fillId="0" borderId="40" xfId="0" applyFont="1" applyBorder="1" applyAlignment="1">
      <alignment horizontal="right" vertical="center" wrapText="1"/>
    </xf>
    <xf numFmtId="3" fontId="60" fillId="0" borderId="13" xfId="3" applyNumberFormat="1" applyFont="1" applyFill="1" applyBorder="1" applyAlignment="1">
      <alignment horizontal="right" vertical="center" wrapText="1"/>
    </xf>
    <xf numFmtId="3" fontId="30" fillId="0" borderId="13" xfId="3" applyNumberFormat="1" applyFont="1" applyFill="1" applyBorder="1" applyAlignment="1">
      <alignment horizontal="right" vertical="center" wrapText="1"/>
    </xf>
    <xf numFmtId="0" fontId="6" fillId="0" borderId="0" xfId="0" applyFont="1" applyAlignment="1">
      <alignment horizontal="right" vertical="center" wrapText="1"/>
    </xf>
    <xf numFmtId="3" fontId="61" fillId="0" borderId="40" xfId="0" applyNumberFormat="1" applyFont="1" applyBorder="1" applyAlignment="1">
      <alignment horizontal="right" vertical="center" wrapText="1"/>
    </xf>
    <xf numFmtId="3" fontId="61" fillId="0" borderId="13" xfId="3" applyNumberFormat="1" applyFont="1" applyFill="1" applyBorder="1" applyAlignment="1">
      <alignment horizontal="right" vertical="center" wrapText="1"/>
    </xf>
    <xf numFmtId="10" fontId="61" fillId="0" borderId="13" xfId="3" applyNumberFormat="1" applyFont="1" applyFill="1" applyBorder="1" applyAlignment="1">
      <alignment horizontal="right" vertical="center" wrapText="1"/>
    </xf>
    <xf numFmtId="165" fontId="61" fillId="0" borderId="13" xfId="3" applyNumberFormat="1" applyFont="1" applyFill="1" applyBorder="1" applyAlignment="1">
      <alignment horizontal="right" vertical="center" wrapText="1"/>
    </xf>
    <xf numFmtId="0" fontId="8" fillId="0" borderId="25" xfId="0" applyFont="1" applyBorder="1" applyAlignment="1">
      <alignment vertical="center"/>
    </xf>
    <xf numFmtId="0" fontId="43" fillId="0" borderId="76" xfId="0" applyFont="1" applyBorder="1" applyAlignment="1">
      <alignment vertical="center" textRotation="90"/>
    </xf>
    <xf numFmtId="3" fontId="8" fillId="18" borderId="13" xfId="3" applyNumberFormat="1" applyFont="1" applyFill="1" applyBorder="1" applyAlignment="1">
      <alignment horizontal="right" vertical="center" wrapText="1"/>
    </xf>
    <xf numFmtId="3" fontId="0" fillId="0" borderId="0" xfId="0" applyNumberFormat="1"/>
    <xf numFmtId="0" fontId="62" fillId="0" borderId="40" xfId="0" applyFont="1" applyBorder="1" applyAlignment="1">
      <alignment horizontal="right" vertical="center" wrapText="1"/>
    </xf>
    <xf numFmtId="3" fontId="7" fillId="0" borderId="40" xfId="0" applyNumberFormat="1" applyFont="1" applyBorder="1" applyAlignment="1">
      <alignment horizontal="right" vertical="center" wrapText="1"/>
    </xf>
    <xf numFmtId="3" fontId="63" fillId="0" borderId="13" xfId="3" applyNumberFormat="1" applyFont="1" applyFill="1" applyBorder="1" applyAlignment="1">
      <alignment horizontal="right" vertical="center" wrapText="1"/>
    </xf>
    <xf numFmtId="3" fontId="64" fillId="0" borderId="13" xfId="3" applyNumberFormat="1" applyFont="1" applyFill="1" applyBorder="1" applyAlignment="1">
      <alignment horizontal="right" vertical="center" wrapText="1"/>
    </xf>
    <xf numFmtId="3" fontId="57" fillId="0" borderId="13" xfId="3" applyNumberFormat="1" applyFont="1" applyFill="1" applyBorder="1" applyAlignment="1">
      <alignment horizontal="right" vertical="center" wrapText="1"/>
    </xf>
    <xf numFmtId="3" fontId="24" fillId="0" borderId="13" xfId="3" applyNumberFormat="1" applyFont="1" applyFill="1" applyBorder="1" applyAlignment="1">
      <alignment horizontal="right" vertical="center" wrapText="1"/>
    </xf>
    <xf numFmtId="0" fontId="38" fillId="12" borderId="77" xfId="2" applyFont="1" applyFill="1" applyBorder="1" applyAlignment="1">
      <alignment vertical="center" wrapText="1"/>
    </xf>
    <xf numFmtId="0" fontId="38" fillId="12" borderId="24" xfId="2" applyFont="1" applyFill="1" applyBorder="1" applyAlignment="1">
      <alignment vertical="center" wrapText="1"/>
    </xf>
    <xf numFmtId="167" fontId="17" fillId="0" borderId="22" xfId="2" applyNumberFormat="1" applyFont="1" applyBorder="1" applyAlignment="1">
      <alignment horizontal="center" vertical="center" wrapText="1"/>
    </xf>
    <xf numFmtId="0" fontId="47" fillId="12" borderId="22" xfId="2" applyFont="1" applyFill="1" applyBorder="1" applyAlignment="1">
      <alignment horizontal="center" vertical="center" wrapText="1"/>
    </xf>
    <xf numFmtId="0" fontId="18" fillId="0" borderId="78" xfId="0" applyFont="1" applyBorder="1" applyAlignment="1">
      <alignment vertical="center"/>
    </xf>
    <xf numFmtId="3" fontId="67" fillId="0" borderId="13" xfId="3" applyNumberFormat="1" applyFont="1" applyFill="1" applyBorder="1" applyAlignment="1">
      <alignment horizontal="right" vertical="center" wrapText="1"/>
    </xf>
    <xf numFmtId="0" fontId="69" fillId="6" borderId="0" xfId="0" applyFont="1" applyFill="1" applyAlignment="1">
      <alignment horizontal="right"/>
    </xf>
    <xf numFmtId="10" fontId="13" fillId="0" borderId="13" xfId="1" applyNumberFormat="1" applyFont="1" applyFill="1" applyBorder="1" applyAlignment="1">
      <alignment horizontal="center" vertical="center" wrapText="1"/>
    </xf>
    <xf numFmtId="0" fontId="17" fillId="12" borderId="23" xfId="2" applyFont="1" applyFill="1" applyBorder="1" applyAlignment="1">
      <alignment vertical="center" wrapText="1"/>
    </xf>
    <xf numFmtId="0" fontId="17" fillId="12" borderId="24" xfId="2" applyFont="1" applyFill="1" applyBorder="1" applyAlignment="1">
      <alignment vertical="center" wrapText="1"/>
    </xf>
    <xf numFmtId="0" fontId="44" fillId="12" borderId="22" xfId="2" applyFont="1" applyFill="1" applyBorder="1" applyAlignment="1">
      <alignment horizontal="right" vertical="center" wrapText="1"/>
    </xf>
    <xf numFmtId="167" fontId="17" fillId="13" borderId="22" xfId="2" applyNumberFormat="1" applyFont="1" applyFill="1" applyBorder="1" applyAlignment="1">
      <alignment horizontal="center" vertical="center" wrapText="1"/>
    </xf>
    <xf numFmtId="0" fontId="17" fillId="12" borderId="28" xfId="2" applyFont="1" applyFill="1" applyBorder="1" applyAlignment="1">
      <alignment horizontal="center" vertical="center" wrapText="1"/>
    </xf>
    <xf numFmtId="10" fontId="0" fillId="0" borderId="0" xfId="0" applyNumberFormat="1"/>
    <xf numFmtId="0" fontId="59" fillId="0" borderId="0" xfId="0" applyFont="1" applyAlignment="1">
      <alignment vertical="center" wrapText="1"/>
    </xf>
    <xf numFmtId="0" fontId="71" fillId="0" borderId="78" xfId="0" applyFont="1" applyBorder="1" applyAlignment="1">
      <alignment horizontal="center" vertical="center"/>
    </xf>
    <xf numFmtId="0" fontId="72" fillId="0" borderId="0" xfId="0" applyFont="1" applyAlignment="1">
      <alignment vertical="center"/>
    </xf>
    <xf numFmtId="0" fontId="38" fillId="5" borderId="2" xfId="2" applyFont="1" applyFill="1" applyBorder="1" applyAlignment="1">
      <alignment horizontal="center" vertical="center" wrapText="1"/>
    </xf>
    <xf numFmtId="0" fontId="73" fillId="0" borderId="0" xfId="0" applyFont="1" applyAlignment="1">
      <alignment horizontal="left" vertical="center"/>
    </xf>
    <xf numFmtId="0" fontId="19" fillId="0" borderId="0" xfId="0" applyFont="1" applyAlignment="1">
      <alignment horizontal="left" vertical="center"/>
    </xf>
    <xf numFmtId="0" fontId="28" fillId="7" borderId="27" xfId="2" applyFont="1" applyFill="1" applyBorder="1" applyAlignment="1">
      <alignment horizontal="center" vertical="center" wrapText="1"/>
    </xf>
    <xf numFmtId="14" fontId="18" fillId="0" borderId="0" xfId="0" applyNumberFormat="1" applyFont="1" applyAlignment="1">
      <alignment vertical="center"/>
    </xf>
    <xf numFmtId="169" fontId="19" fillId="0" borderId="0" xfId="0" applyNumberFormat="1" applyFont="1" applyAlignment="1">
      <alignment vertical="center"/>
    </xf>
    <xf numFmtId="164" fontId="18" fillId="0" borderId="0" xfId="0" applyNumberFormat="1" applyFont="1" applyAlignment="1">
      <alignment vertical="center"/>
    </xf>
    <xf numFmtId="0" fontId="17" fillId="0" borderId="0" xfId="0" applyFont="1" applyAlignment="1">
      <alignment wrapText="1"/>
    </xf>
    <xf numFmtId="0" fontId="17" fillId="0" borderId="0" xfId="0" applyFont="1" applyAlignment="1">
      <alignment vertical="center"/>
    </xf>
    <xf numFmtId="164" fontId="17" fillId="0" borderId="0" xfId="3" applyFont="1"/>
    <xf numFmtId="170" fontId="17" fillId="15" borderId="0" xfId="3" applyNumberFormat="1" applyFont="1" applyFill="1" applyBorder="1" applyAlignment="1">
      <alignment vertical="center"/>
    </xf>
    <xf numFmtId="170" fontId="38" fillId="0" borderId="0" xfId="3" applyNumberFormat="1" applyFont="1" applyBorder="1" applyAlignment="1">
      <alignment vertical="center"/>
    </xf>
    <xf numFmtId="0" fontId="70" fillId="0" borderId="0" xfId="0" applyFont="1" applyAlignment="1">
      <alignment vertical="center"/>
    </xf>
    <xf numFmtId="3" fontId="58" fillId="0" borderId="40" xfId="3" applyNumberFormat="1" applyFont="1" applyFill="1" applyBorder="1" applyAlignment="1">
      <alignment horizontal="right" vertical="center" wrapText="1"/>
    </xf>
    <xf numFmtId="0" fontId="78" fillId="0" borderId="0" xfId="0" applyFont="1"/>
    <xf numFmtId="0" fontId="76" fillId="0" borderId="0" xfId="0" applyFont="1" applyAlignment="1">
      <alignment wrapText="1"/>
    </xf>
    <xf numFmtId="0" fontId="79" fillId="6" borderId="43" xfId="0" applyFont="1" applyFill="1" applyBorder="1" applyAlignment="1">
      <alignment horizontal="center" vertical="center" wrapText="1"/>
    </xf>
    <xf numFmtId="10" fontId="56" fillId="0" borderId="13" xfId="3" applyNumberFormat="1" applyFont="1" applyFill="1" applyBorder="1" applyAlignment="1">
      <alignment horizontal="right" vertical="center" wrapText="1"/>
    </xf>
    <xf numFmtId="165" fontId="58" fillId="0" borderId="13" xfId="1" applyNumberFormat="1" applyFont="1" applyBorder="1" applyAlignment="1">
      <alignment horizontal="right" vertical="center" wrapText="1"/>
    </xf>
    <xf numFmtId="0" fontId="80" fillId="0" borderId="0" xfId="0" applyFont="1"/>
    <xf numFmtId="3" fontId="56" fillId="0" borderId="13" xfId="3" applyNumberFormat="1" applyFont="1" applyFill="1" applyBorder="1" applyAlignment="1">
      <alignment horizontal="right" vertical="center" wrapText="1"/>
    </xf>
    <xf numFmtId="3" fontId="56" fillId="14" borderId="13" xfId="3" applyNumberFormat="1" applyFont="1" applyFill="1" applyBorder="1" applyAlignment="1">
      <alignment horizontal="right" vertical="center" wrapText="1"/>
    </xf>
    <xf numFmtId="3" fontId="79" fillId="14" borderId="13" xfId="3" applyNumberFormat="1" applyFont="1" applyFill="1" applyBorder="1" applyAlignment="1">
      <alignment horizontal="right" vertical="center" wrapText="1"/>
    </xf>
    <xf numFmtId="10" fontId="81" fillId="0" borderId="13" xfId="3" applyNumberFormat="1" applyFont="1" applyFill="1" applyBorder="1" applyAlignment="1">
      <alignment horizontal="right" vertical="center" wrapText="1"/>
    </xf>
    <xf numFmtId="165" fontId="81" fillId="0" borderId="13" xfId="3" applyNumberFormat="1" applyFont="1" applyFill="1" applyBorder="1" applyAlignment="1">
      <alignment horizontal="right" vertical="center" wrapText="1"/>
    </xf>
    <xf numFmtId="3" fontId="82" fillId="0" borderId="13" xfId="3" applyNumberFormat="1" applyFont="1" applyFill="1" applyBorder="1" applyAlignment="1">
      <alignment horizontal="right" vertical="center" wrapText="1"/>
    </xf>
    <xf numFmtId="3" fontId="80" fillId="0" borderId="0" xfId="0" applyNumberFormat="1" applyFont="1"/>
    <xf numFmtId="0" fontId="0" fillId="0" borderId="39" xfId="0" applyBorder="1" applyAlignment="1">
      <alignment vertical="center"/>
    </xf>
    <xf numFmtId="0" fontId="0" fillId="0" borderId="0" xfId="0" applyAlignment="1">
      <alignment vertical="center"/>
    </xf>
    <xf numFmtId="0" fontId="6" fillId="8" borderId="47"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center"/>
    </xf>
    <xf numFmtId="11" fontId="17" fillId="0" borderId="0" xfId="0" applyNumberFormat="1" applyFont="1"/>
    <xf numFmtId="0" fontId="4" fillId="8" borderId="83" xfId="0" applyFont="1" applyFill="1" applyBorder="1" applyAlignment="1">
      <alignment horizontal="center" vertical="center" wrapText="1"/>
    </xf>
    <xf numFmtId="0" fontId="4" fillId="8" borderId="82" xfId="0" applyFont="1" applyFill="1" applyBorder="1" applyAlignment="1">
      <alignment horizontal="center" vertical="center" wrapText="1"/>
    </xf>
    <xf numFmtId="0" fontId="0" fillId="0" borderId="85" xfId="0" applyBorder="1"/>
    <xf numFmtId="4" fontId="5" fillId="10" borderId="11" xfId="0" applyNumberFormat="1" applyFont="1" applyFill="1" applyBorder="1" applyAlignment="1">
      <alignment horizontal="center" vertical="center" wrapText="1"/>
    </xf>
    <xf numFmtId="4" fontId="5" fillId="10" borderId="5" xfId="0" applyNumberFormat="1" applyFont="1" applyFill="1" applyBorder="1" applyAlignment="1">
      <alignment horizontal="center" vertical="center" wrapText="1"/>
    </xf>
    <xf numFmtId="4" fontId="5" fillId="0" borderId="11" xfId="0" applyNumberFormat="1" applyFont="1" applyBorder="1" applyAlignment="1">
      <alignment horizontal="center" vertical="center" wrapText="1"/>
    </xf>
    <xf numFmtId="4" fontId="5" fillId="0" borderId="5" xfId="0" applyNumberFormat="1" applyFont="1" applyBorder="1" applyAlignment="1">
      <alignment horizontal="center" vertical="center" wrapText="1"/>
    </xf>
    <xf numFmtId="0" fontId="0" fillId="0" borderId="81" xfId="0" applyBorder="1"/>
    <xf numFmtId="0" fontId="4" fillId="8" borderId="87" xfId="0" applyFont="1" applyFill="1" applyBorder="1" applyAlignment="1">
      <alignment horizontal="center" vertical="center" wrapText="1"/>
    </xf>
    <xf numFmtId="4" fontId="5" fillId="0" borderId="94" xfId="0" applyNumberFormat="1" applyFont="1" applyBorder="1" applyAlignment="1">
      <alignment horizontal="center" vertical="center" wrapText="1"/>
    </xf>
    <xf numFmtId="4" fontId="5" fillId="0" borderId="95" xfId="0" applyNumberFormat="1" applyFont="1" applyBorder="1" applyAlignment="1">
      <alignment horizontal="center" vertical="center" wrapText="1"/>
    </xf>
    <xf numFmtId="0" fontId="6" fillId="0" borderId="9" xfId="0" applyFont="1" applyBorder="1" applyAlignment="1">
      <alignment vertical="center"/>
    </xf>
    <xf numFmtId="0" fontId="6" fillId="0" borderId="9" xfId="0" applyFont="1" applyBorder="1" applyAlignment="1">
      <alignment vertical="center" wrapText="1"/>
    </xf>
    <xf numFmtId="0" fontId="70" fillId="0" borderId="10" xfId="0" applyFont="1" applyBorder="1" applyAlignment="1">
      <alignment vertical="center"/>
    </xf>
    <xf numFmtId="0" fontId="74" fillId="0" borderId="10" xfId="0" applyFont="1" applyBorder="1" applyAlignment="1">
      <alignment horizontal="left" vertical="center"/>
    </xf>
    <xf numFmtId="0" fontId="17" fillId="0" borderId="3" xfId="0" applyFont="1" applyBorder="1"/>
    <xf numFmtId="0" fontId="17" fillId="0" borderId="3" xfId="0" applyFont="1" applyBorder="1" applyAlignment="1">
      <alignment horizontal="left" vertical="center"/>
    </xf>
    <xf numFmtId="170" fontId="17" fillId="15" borderId="10" xfId="3" applyNumberFormat="1" applyFont="1" applyFill="1" applyBorder="1" applyAlignment="1">
      <alignment vertical="center"/>
    </xf>
    <xf numFmtId="170" fontId="38" fillId="0" borderId="10" xfId="3" applyNumberFormat="1" applyFont="1" applyBorder="1" applyAlignment="1">
      <alignment vertical="center"/>
    </xf>
    <xf numFmtId="164" fontId="18" fillId="0" borderId="4" xfId="3" applyFont="1" applyFill="1" applyBorder="1" applyAlignment="1">
      <alignment vertical="center" wrapText="1"/>
    </xf>
    <xf numFmtId="0" fontId="17" fillId="0" borderId="10" xfId="0" applyFont="1" applyBorder="1" applyAlignment="1">
      <alignment horizontal="center" vertical="center" wrapText="1"/>
    </xf>
    <xf numFmtId="164" fontId="18" fillId="0" borderId="10" xfId="3" applyFont="1" applyFill="1" applyBorder="1" applyAlignment="1">
      <alignment vertical="center" wrapText="1"/>
    </xf>
    <xf numFmtId="0" fontId="17" fillId="0" borderId="9" xfId="0" applyFont="1" applyBorder="1" applyAlignment="1">
      <alignment horizontal="center" vertical="center" wrapText="1"/>
    </xf>
    <xf numFmtId="170" fontId="17" fillId="15" borderId="4" xfId="3" applyNumberFormat="1" applyFont="1" applyFill="1" applyBorder="1" applyAlignment="1">
      <alignment vertical="center"/>
    </xf>
    <xf numFmtId="170" fontId="38" fillId="0" borderId="4" xfId="3" applyNumberFormat="1" applyFont="1" applyBorder="1" applyAlignment="1">
      <alignment vertical="center"/>
    </xf>
    <xf numFmtId="164" fontId="75" fillId="8" borderId="102" xfId="3" applyFont="1" applyFill="1" applyBorder="1" applyAlignment="1">
      <alignment vertical="center" wrapText="1"/>
    </xf>
    <xf numFmtId="164" fontId="75" fillId="8" borderId="103" xfId="3" applyFont="1" applyFill="1" applyBorder="1" applyAlignment="1">
      <alignment vertical="center" wrapText="1"/>
    </xf>
    <xf numFmtId="0" fontId="0" fillId="0" borderId="9" xfId="0" applyBorder="1"/>
    <xf numFmtId="2" fontId="5" fillId="10" borderId="105" xfId="0" applyNumberFormat="1" applyFont="1" applyFill="1" applyBorder="1" applyAlignment="1">
      <alignment horizontal="center" vertical="center" wrapText="1"/>
    </xf>
    <xf numFmtId="0" fontId="0" fillId="0" borderId="99" xfId="0" applyBorder="1"/>
    <xf numFmtId="2" fontId="5" fillId="0" borderId="106" xfId="0" applyNumberFormat="1" applyFont="1" applyBorder="1" applyAlignment="1">
      <alignment horizontal="center" vertical="center" wrapText="1"/>
    </xf>
    <xf numFmtId="0" fontId="0" fillId="0" borderId="107" xfId="0" applyBorder="1"/>
    <xf numFmtId="2" fontId="5" fillId="10" borderId="104" xfId="0" applyNumberFormat="1" applyFont="1" applyFill="1" applyBorder="1" applyAlignment="1">
      <alignment horizontal="center" vertical="center" wrapText="1"/>
    </xf>
    <xf numFmtId="0" fontId="0" fillId="0" borderId="1" xfId="0" applyBorder="1"/>
    <xf numFmtId="0" fontId="0" fillId="0" borderId="7" xfId="0" applyBorder="1"/>
    <xf numFmtId="2" fontId="0" fillId="0" borderId="99" xfId="0" applyNumberFormat="1" applyBorder="1"/>
    <xf numFmtId="0" fontId="7" fillId="0" borderId="40" xfId="0" applyFont="1" applyBorder="1" applyAlignment="1">
      <alignment horizontal="left" vertical="center" wrapText="1"/>
    </xf>
    <xf numFmtId="164" fontId="71" fillId="20" borderId="117" xfId="3" applyFont="1" applyFill="1" applyBorder="1" applyAlignment="1">
      <alignment vertical="center" wrapText="1"/>
    </xf>
    <xf numFmtId="0" fontId="17" fillId="6" borderId="10" xfId="0" applyFont="1" applyFill="1" applyBorder="1" applyAlignment="1">
      <alignment horizontal="right" vertical="center" wrapText="1"/>
    </xf>
    <xf numFmtId="0" fontId="17" fillId="6" borderId="0" xfId="0" applyFont="1" applyFill="1" applyAlignment="1">
      <alignment horizontal="right" vertical="center" wrapText="1"/>
    </xf>
    <xf numFmtId="0" fontId="17" fillId="6" borderId="4" xfId="0" applyFont="1" applyFill="1" applyBorder="1" applyAlignment="1">
      <alignment horizontal="right" vertical="center" wrapText="1"/>
    </xf>
    <xf numFmtId="0" fontId="17" fillId="6" borderId="0" xfId="0" applyFont="1" applyFill="1" applyAlignment="1">
      <alignment horizontal="right" vertical="center"/>
    </xf>
    <xf numFmtId="167" fontId="5" fillId="0" borderId="13" xfId="3" applyNumberFormat="1" applyFont="1" applyFill="1" applyBorder="1" applyAlignment="1">
      <alignment horizontal="right" vertical="center" wrapText="1"/>
    </xf>
    <xf numFmtId="167" fontId="18" fillId="0" borderId="0" xfId="0" applyNumberFormat="1" applyFont="1" applyAlignment="1">
      <alignment vertical="center"/>
    </xf>
    <xf numFmtId="3" fontId="59" fillId="0" borderId="13" xfId="3" applyNumberFormat="1" applyFont="1" applyFill="1" applyBorder="1" applyAlignment="1">
      <alignment horizontal="center" vertical="center" wrapText="1"/>
    </xf>
    <xf numFmtId="0" fontId="1" fillId="0" borderId="58" xfId="2" applyFont="1" applyBorder="1" applyAlignment="1">
      <alignment horizontal="center" vertical="center" wrapText="1"/>
    </xf>
    <xf numFmtId="2" fontId="1" fillId="0" borderId="56" xfId="2" applyNumberFormat="1" applyFont="1" applyBorder="1" applyAlignment="1">
      <alignment horizontal="center" vertical="center" wrapText="1"/>
    </xf>
    <xf numFmtId="2" fontId="42" fillId="14" borderId="41" xfId="1" applyNumberFormat="1" applyFont="1" applyFill="1" applyBorder="1" applyAlignment="1">
      <alignment horizontal="center" vertical="center" wrapText="1"/>
    </xf>
    <xf numFmtId="10" fontId="1" fillId="14" borderId="13" xfId="1" applyNumberFormat="1" applyFont="1" applyFill="1" applyBorder="1" applyAlignment="1">
      <alignment horizontal="center" vertical="center" wrapText="1"/>
    </xf>
    <xf numFmtId="167" fontId="5" fillId="14" borderId="13" xfId="3" applyNumberFormat="1" applyFont="1" applyFill="1" applyBorder="1" applyAlignment="1">
      <alignment horizontal="right" vertical="center" wrapText="1"/>
    </xf>
    <xf numFmtId="10" fontId="8" fillId="14" borderId="13" xfId="1" applyNumberFormat="1" applyFont="1" applyFill="1" applyBorder="1" applyAlignment="1">
      <alignment horizontal="center" vertical="center" wrapText="1"/>
    </xf>
    <xf numFmtId="2" fontId="30" fillId="14" borderId="41" xfId="1" applyNumberFormat="1" applyFont="1" applyFill="1" applyBorder="1" applyAlignment="1">
      <alignment horizontal="center" vertical="center" wrapText="1"/>
    </xf>
    <xf numFmtId="172" fontId="0" fillId="0" borderId="0" xfId="0" applyNumberFormat="1"/>
    <xf numFmtId="0" fontId="76" fillId="0" borderId="0" xfId="0" applyFont="1"/>
    <xf numFmtId="3" fontId="67" fillId="0" borderId="13" xfId="1" applyNumberFormat="1" applyFont="1" applyFill="1" applyBorder="1" applyAlignment="1">
      <alignment horizontal="center" vertical="center" wrapText="1"/>
    </xf>
    <xf numFmtId="2" fontId="18" fillId="0" borderId="0" xfId="0" applyNumberFormat="1" applyFont="1" applyAlignment="1">
      <alignment vertical="center"/>
    </xf>
    <xf numFmtId="166" fontId="34" fillId="0" borderId="13" xfId="1" applyNumberFormat="1" applyFont="1" applyBorder="1" applyAlignment="1">
      <alignment horizontal="right" vertical="center" wrapText="1"/>
    </xf>
    <xf numFmtId="0" fontId="73" fillId="0" borderId="0" xfId="0" applyFont="1" applyAlignment="1">
      <alignment vertical="center"/>
    </xf>
    <xf numFmtId="0" fontId="1" fillId="0" borderId="14" xfId="2" applyFont="1" applyBorder="1" applyAlignment="1">
      <alignment horizontal="center" vertical="center" wrapText="1"/>
    </xf>
    <xf numFmtId="0" fontId="1" fillId="0" borderId="40" xfId="0" applyFont="1" applyBorder="1" applyAlignment="1">
      <alignment horizontal="left" vertical="center" wrapText="1"/>
    </xf>
    <xf numFmtId="0" fontId="1" fillId="0" borderId="40" xfId="0" applyFont="1" applyBorder="1" applyAlignment="1">
      <alignment horizontal="right" vertical="center" wrapText="1"/>
    </xf>
    <xf numFmtId="3" fontId="1" fillId="0" borderId="40" xfId="0" applyNumberFormat="1" applyFont="1" applyBorder="1" applyAlignment="1">
      <alignment horizontal="right" vertical="center" wrapText="1"/>
    </xf>
    <xf numFmtId="0" fontId="1" fillId="14" borderId="40" xfId="0" applyFont="1" applyFill="1" applyBorder="1" applyAlignment="1">
      <alignment horizontal="left" vertical="center" wrapText="1"/>
    </xf>
    <xf numFmtId="3" fontId="1" fillId="14" borderId="40" xfId="0" applyNumberFormat="1" applyFont="1" applyFill="1" applyBorder="1" applyAlignment="1">
      <alignment horizontal="right" vertical="center" wrapText="1"/>
    </xf>
    <xf numFmtId="0" fontId="1" fillId="0" borderId="66" xfId="2" applyFont="1" applyBorder="1" applyAlignment="1">
      <alignment horizontal="center" vertical="center" wrapText="1"/>
    </xf>
    <xf numFmtId="2" fontId="1" fillId="0" borderId="66" xfId="2" applyNumberFormat="1" applyFont="1" applyBorder="1" applyAlignment="1">
      <alignment horizontal="center" vertical="center" wrapText="1"/>
    </xf>
    <xf numFmtId="0" fontId="1" fillId="0" borderId="45" xfId="2" applyFont="1" applyBorder="1" applyAlignment="1">
      <alignment horizontal="center" vertical="center" wrapText="1"/>
    </xf>
    <xf numFmtId="0" fontId="1" fillId="0" borderId="13" xfId="2" applyFont="1" applyBorder="1" applyAlignment="1">
      <alignment horizontal="center" vertical="center" wrapText="1"/>
    </xf>
    <xf numFmtId="0" fontId="1" fillId="0" borderId="52" xfId="2" applyFont="1" applyBorder="1" applyAlignment="1">
      <alignment horizontal="center" vertical="center" wrapText="1"/>
    </xf>
    <xf numFmtId="0" fontId="1" fillId="0" borderId="53" xfId="2" applyFont="1" applyBorder="1" applyAlignment="1">
      <alignment horizontal="center" vertical="center" wrapText="1"/>
    </xf>
    <xf numFmtId="0" fontId="1" fillId="0" borderId="59" xfId="2" applyFont="1" applyBorder="1" applyAlignment="1">
      <alignment horizontal="center" vertical="center" wrapText="1"/>
    </xf>
    <xf numFmtId="0" fontId="1" fillId="0" borderId="54" xfId="2" applyFont="1" applyBorder="1" applyAlignment="1">
      <alignment horizontal="center" vertical="center" wrapText="1"/>
    </xf>
    <xf numFmtId="0" fontId="1" fillId="0" borderId="60" xfId="2" applyFont="1" applyBorder="1" applyAlignment="1">
      <alignment horizontal="center" vertical="center" wrapText="1"/>
    </xf>
    <xf numFmtId="2" fontId="1" fillId="0" borderId="55" xfId="2" applyNumberFormat="1" applyFont="1" applyBorder="1" applyAlignment="1">
      <alignment horizontal="center" vertical="center" wrapText="1"/>
    </xf>
    <xf numFmtId="2" fontId="1" fillId="0" borderId="57" xfId="2" applyNumberFormat="1" applyFont="1" applyBorder="1" applyAlignment="1">
      <alignment horizontal="center" vertical="center" wrapText="1"/>
    </xf>
    <xf numFmtId="0" fontId="1" fillId="0" borderId="10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2" fontId="1" fillId="10" borderId="104" xfId="0" applyNumberFormat="1" applyFont="1" applyFill="1" applyBorder="1" applyAlignment="1">
      <alignment horizontal="center" vertical="center" wrapText="1"/>
    </xf>
    <xf numFmtId="2" fontId="1" fillId="0" borderId="5" xfId="0" applyNumberFormat="1" applyFont="1" applyBorder="1" applyAlignment="1">
      <alignment horizontal="center" vertical="center" wrapText="1"/>
    </xf>
    <xf numFmtId="2" fontId="1" fillId="10" borderId="11" xfId="0" applyNumberFormat="1" applyFont="1" applyFill="1" applyBorder="1" applyAlignment="1">
      <alignment horizontal="center" vertical="center" wrapText="1"/>
    </xf>
    <xf numFmtId="2" fontId="1" fillId="10" borderId="5" xfId="0" applyNumberFormat="1" applyFont="1" applyFill="1" applyBorder="1" applyAlignment="1">
      <alignment horizontal="center" vertical="center" wrapText="1"/>
    </xf>
    <xf numFmtId="0" fontId="1" fillId="0" borderId="6" xfId="0" applyFont="1" applyBorder="1" applyAlignment="1">
      <alignment horizontal="center" vertical="center" wrapText="1"/>
    </xf>
    <xf numFmtId="2" fontId="1" fillId="10" borderId="6" xfId="0" applyNumberFormat="1" applyFont="1" applyFill="1" applyBorder="1" applyAlignment="1">
      <alignment horizontal="center" vertical="center" wrapText="1"/>
    </xf>
    <xf numFmtId="0" fontId="1" fillId="0" borderId="99" xfId="0" applyFont="1" applyBorder="1" applyAlignment="1">
      <alignment horizontal="center" vertical="center" wrapText="1"/>
    </xf>
    <xf numFmtId="2" fontId="1" fillId="15" borderId="11" xfId="0" applyNumberFormat="1" applyFont="1" applyFill="1" applyBorder="1" applyAlignment="1">
      <alignment horizontal="center" vertical="center" wrapText="1"/>
    </xf>
    <xf numFmtId="2" fontId="1" fillId="0" borderId="11" xfId="0" applyNumberFormat="1" applyFont="1" applyBorder="1" applyAlignment="1">
      <alignment horizontal="center" vertical="center" wrapText="1"/>
    </xf>
    <xf numFmtId="166" fontId="1" fillId="15" borderId="104" xfId="0" applyNumberFormat="1" applyFont="1" applyFill="1" applyBorder="1" applyAlignment="1">
      <alignment horizontal="center" vertical="center" wrapText="1"/>
    </xf>
    <xf numFmtId="166" fontId="1" fillId="15" borderId="11" xfId="0" applyNumberFormat="1" applyFont="1" applyFill="1" applyBorder="1" applyAlignment="1">
      <alignment horizontal="center" vertical="center" wrapText="1"/>
    </xf>
    <xf numFmtId="166" fontId="1" fillId="0" borderId="11" xfId="0" applyNumberFormat="1" applyFont="1" applyBorder="1" applyAlignment="1">
      <alignment horizontal="center" vertical="center" wrapText="1"/>
    </xf>
    <xf numFmtId="166" fontId="1" fillId="0" borderId="5" xfId="0" applyNumberFormat="1" applyFont="1" applyBorder="1" applyAlignment="1">
      <alignment horizontal="center" vertical="center" wrapText="1"/>
    </xf>
    <xf numFmtId="2" fontId="1" fillId="15" borderId="104" xfId="0" applyNumberFormat="1" applyFont="1" applyFill="1" applyBorder="1" applyAlignment="1">
      <alignment horizontal="center" vertical="center" wrapText="1"/>
    </xf>
    <xf numFmtId="2" fontId="1" fillId="15" borderId="5" xfId="0" applyNumberFormat="1" applyFont="1" applyFill="1" applyBorder="1" applyAlignment="1">
      <alignment horizontal="center" vertical="center" wrapText="1"/>
    </xf>
    <xf numFmtId="2" fontId="1" fillId="15" borderId="8" xfId="0" applyNumberFormat="1" applyFont="1" applyFill="1" applyBorder="1" applyAlignment="1">
      <alignment horizontal="center" vertical="center" wrapText="1"/>
    </xf>
    <xf numFmtId="2" fontId="84" fillId="4" borderId="56" xfId="2" applyNumberFormat="1" applyFont="1" applyFill="1" applyBorder="1" applyAlignment="1">
      <alignment horizontal="center" vertical="center" wrapText="1"/>
    </xf>
    <xf numFmtId="2" fontId="84" fillId="4" borderId="119" xfId="2" applyNumberFormat="1" applyFont="1" applyFill="1" applyBorder="1" applyAlignment="1">
      <alignment horizontal="center" vertical="center" wrapText="1"/>
    </xf>
    <xf numFmtId="2" fontId="84" fillId="4" borderId="60" xfId="2" applyNumberFormat="1" applyFont="1" applyFill="1" applyBorder="1" applyAlignment="1">
      <alignment horizontal="center" vertical="center" wrapText="1"/>
    </xf>
    <xf numFmtId="2" fontId="42" fillId="0" borderId="41" xfId="1" applyNumberFormat="1" applyFont="1" applyFill="1" applyBorder="1" applyAlignment="1">
      <alignment horizontal="center" vertical="center" wrapText="1"/>
    </xf>
    <xf numFmtId="10" fontId="1" fillId="0" borderId="13" xfId="1" applyNumberFormat="1" applyFont="1" applyFill="1" applyBorder="1" applyAlignment="1">
      <alignment horizontal="center" vertical="center" wrapText="1"/>
    </xf>
    <xf numFmtId="2" fontId="84" fillId="4" borderId="120" xfId="2" applyNumberFormat="1" applyFont="1" applyFill="1" applyBorder="1" applyAlignment="1">
      <alignment horizontal="center" vertical="center" wrapText="1"/>
    </xf>
    <xf numFmtId="2" fontId="84" fillId="4" borderId="12" xfId="2" applyNumberFormat="1" applyFont="1" applyFill="1" applyBorder="1" applyAlignment="1">
      <alignment horizontal="center" vertical="center" wrapText="1"/>
    </xf>
    <xf numFmtId="170" fontId="17" fillId="15" borderId="101" xfId="3" applyNumberFormat="1" applyFont="1" applyFill="1" applyBorder="1" applyAlignment="1">
      <alignment vertical="center"/>
    </xf>
    <xf numFmtId="170" fontId="17" fillId="15" borderId="3" xfId="3" applyNumberFormat="1" applyFont="1" applyFill="1" applyBorder="1" applyAlignment="1">
      <alignment vertical="center"/>
    </xf>
    <xf numFmtId="0" fontId="17" fillId="0" borderId="101" xfId="0" applyFont="1" applyBorder="1"/>
    <xf numFmtId="0" fontId="17" fillId="0" borderId="96" xfId="0" applyFont="1" applyBorder="1"/>
    <xf numFmtId="164" fontId="75" fillId="8" borderId="118" xfId="3" applyFont="1" applyFill="1" applyBorder="1" applyAlignment="1">
      <alignment vertical="center" wrapText="1"/>
    </xf>
    <xf numFmtId="0" fontId="17" fillId="0" borderId="9" xfId="0" applyFont="1" applyBorder="1"/>
    <xf numFmtId="171" fontId="17" fillId="15" borderId="0" xfId="3" applyNumberFormat="1" applyFont="1" applyFill="1" applyBorder="1" applyAlignment="1">
      <alignment vertical="center"/>
    </xf>
    <xf numFmtId="170" fontId="17" fillId="15" borderId="121" xfId="3" applyNumberFormat="1" applyFont="1" applyFill="1" applyBorder="1" applyAlignment="1">
      <alignment vertical="center"/>
    </xf>
    <xf numFmtId="170" fontId="17" fillId="15" borderId="116" xfId="3" applyNumberFormat="1" applyFont="1" applyFill="1" applyBorder="1" applyAlignment="1">
      <alignment vertical="center"/>
    </xf>
    <xf numFmtId="170" fontId="17" fillId="15" borderId="122" xfId="3" applyNumberFormat="1" applyFont="1" applyFill="1" applyBorder="1" applyAlignment="1">
      <alignment vertical="center"/>
    </xf>
    <xf numFmtId="170" fontId="17" fillId="15" borderId="96" xfId="3" applyNumberFormat="1" applyFont="1" applyFill="1" applyBorder="1" applyAlignment="1">
      <alignment vertical="center"/>
    </xf>
    <xf numFmtId="170" fontId="17" fillId="15" borderId="9" xfId="3" applyNumberFormat="1" applyFont="1" applyFill="1" applyBorder="1" applyAlignment="1">
      <alignment vertical="center"/>
    </xf>
    <xf numFmtId="170" fontId="17" fillId="15" borderId="100" xfId="3" applyNumberFormat="1" applyFont="1" applyFill="1" applyBorder="1" applyAlignment="1">
      <alignment vertical="center"/>
    </xf>
    <xf numFmtId="170" fontId="17" fillId="15" borderId="6" xfId="3" applyNumberFormat="1" applyFont="1" applyFill="1" applyBorder="1" applyAlignment="1">
      <alignment vertical="center"/>
    </xf>
    <xf numFmtId="0" fontId="22" fillId="0" borderId="0" xfId="0" applyFont="1" applyAlignment="1">
      <alignment vertical="center"/>
    </xf>
    <xf numFmtId="0" fontId="85" fillId="0" borderId="0" xfId="0" applyFont="1" applyAlignment="1">
      <alignment vertical="center"/>
    </xf>
    <xf numFmtId="0" fontId="86" fillId="0" borderId="0" xfId="0" applyFont="1" applyAlignment="1">
      <alignment horizontal="left" vertical="center"/>
    </xf>
    <xf numFmtId="167" fontId="40" fillId="0" borderId="0" xfId="0" applyNumberFormat="1" applyFont="1" applyAlignment="1">
      <alignment vertical="center"/>
    </xf>
    <xf numFmtId="0" fontId="0" fillId="0" borderId="0" xfId="0" applyAlignment="1">
      <alignment horizontal="center"/>
    </xf>
    <xf numFmtId="0" fontId="1" fillId="0" borderId="50" xfId="0" applyFont="1" applyBorder="1" applyAlignment="1">
      <alignment horizontal="center" vertical="center" wrapText="1"/>
    </xf>
    <xf numFmtId="0" fontId="52" fillId="6" borderId="0" xfId="0" applyFont="1" applyFill="1" applyAlignment="1">
      <alignment horizontal="center" textRotation="90"/>
    </xf>
    <xf numFmtId="0" fontId="52" fillId="6" borderId="0" xfId="0" applyFont="1" applyFill="1" applyAlignment="1">
      <alignment horizontal="center" vertical="center" textRotation="90"/>
    </xf>
    <xf numFmtId="3" fontId="59" fillId="0" borderId="124" xfId="3" applyNumberFormat="1" applyFont="1" applyFill="1" applyBorder="1" applyAlignment="1">
      <alignment horizontal="center" vertical="center" wrapText="1"/>
    </xf>
    <xf numFmtId="3" fontId="67" fillId="0" borderId="124" xfId="1" applyNumberFormat="1" applyFont="1" applyFill="1" applyBorder="1" applyAlignment="1">
      <alignment horizontal="center" vertical="center" wrapText="1"/>
    </xf>
    <xf numFmtId="0" fontId="7" fillId="0" borderId="123" xfId="0" applyFont="1" applyBorder="1" applyAlignment="1">
      <alignment horizontal="left" vertical="center" wrapText="1"/>
    </xf>
    <xf numFmtId="0" fontId="7" fillId="0" borderId="39" xfId="0" applyFont="1" applyBorder="1" applyAlignment="1">
      <alignment horizontal="left" vertical="center" wrapText="1"/>
    </xf>
    <xf numFmtId="0" fontId="28" fillId="7" borderId="26" xfId="2" applyFont="1" applyFill="1" applyBorder="1" applyAlignment="1">
      <alignment horizontal="center" vertical="center" wrapText="1"/>
    </xf>
    <xf numFmtId="0" fontId="17" fillId="0" borderId="4" xfId="0" applyFont="1" applyBorder="1"/>
    <xf numFmtId="0" fontId="1" fillId="0" borderId="0" xfId="0" applyFont="1" applyAlignment="1">
      <alignment horizontal="left" vertical="center"/>
    </xf>
    <xf numFmtId="0" fontId="17" fillId="0" borderId="22" xfId="2" applyFont="1" applyBorder="1" applyAlignment="1">
      <alignment horizontal="left" vertical="center" wrapText="1"/>
    </xf>
    <xf numFmtId="1" fontId="0" fillId="0" borderId="0" xfId="0" applyNumberFormat="1"/>
    <xf numFmtId="1" fontId="58" fillId="0" borderId="13" xfId="3" applyNumberFormat="1" applyFont="1" applyFill="1" applyBorder="1" applyAlignment="1">
      <alignment horizontal="right" vertical="center" wrapText="1"/>
    </xf>
    <xf numFmtId="1" fontId="5" fillId="0" borderId="13" xfId="3" applyNumberFormat="1" applyFont="1" applyFill="1" applyBorder="1" applyAlignment="1">
      <alignment horizontal="right" vertical="center" wrapText="1"/>
    </xf>
    <xf numFmtId="1" fontId="56" fillId="0" borderId="13" xfId="3" applyNumberFormat="1" applyFont="1" applyFill="1" applyBorder="1" applyAlignment="1">
      <alignment horizontal="right" vertical="center" wrapText="1"/>
    </xf>
    <xf numFmtId="0" fontId="76" fillId="0" borderId="39" xfId="0" applyFont="1" applyBorder="1" applyAlignment="1">
      <alignment vertical="center" wrapText="1"/>
    </xf>
    <xf numFmtId="0" fontId="87" fillId="0" borderId="0" xfId="0" applyFont="1"/>
    <xf numFmtId="0" fontId="17" fillId="0" borderId="28" xfId="2" applyFont="1" applyBorder="1" applyAlignment="1">
      <alignment horizontal="left" vertical="center" wrapText="1"/>
    </xf>
    <xf numFmtId="3" fontId="89" fillId="0" borderId="13" xfId="3" applyNumberFormat="1" applyFont="1" applyFill="1" applyBorder="1" applyAlignment="1">
      <alignment horizontal="right" vertical="center" wrapText="1"/>
    </xf>
    <xf numFmtId="3" fontId="76" fillId="0" borderId="0" xfId="0" applyNumberFormat="1" applyFont="1"/>
    <xf numFmtId="0" fontId="76" fillId="0" borderId="0" xfId="0" applyFont="1" applyAlignment="1">
      <alignment horizontal="left" vertical="top"/>
    </xf>
    <xf numFmtId="0" fontId="32" fillId="19" borderId="75" xfId="2" applyFont="1" applyFill="1" applyBorder="1" applyAlignment="1">
      <alignment horizontal="center" vertical="center" textRotation="90" wrapText="1"/>
    </xf>
    <xf numFmtId="0" fontId="38" fillId="0" borderId="77" xfId="2" applyFont="1" applyBorder="1" applyAlignment="1">
      <alignment vertical="center" wrapText="1"/>
    </xf>
    <xf numFmtId="3" fontId="38" fillId="12" borderId="22" xfId="2" applyNumberFormat="1" applyFont="1" applyFill="1" applyBorder="1" applyAlignment="1">
      <alignment horizontal="center" vertical="center" wrapText="1"/>
    </xf>
    <xf numFmtId="1" fontId="90" fillId="0" borderId="0" xfId="0" applyNumberFormat="1" applyFont="1"/>
    <xf numFmtId="175" fontId="0" fillId="0" borderId="0" xfId="0" applyNumberFormat="1"/>
    <xf numFmtId="175" fontId="8" fillId="0" borderId="0" xfId="0" applyNumberFormat="1" applyFont="1" applyAlignment="1">
      <alignment vertical="center"/>
    </xf>
    <xf numFmtId="174" fontId="32" fillId="19" borderId="75" xfId="2" applyNumberFormat="1" applyFont="1" applyFill="1" applyBorder="1" applyAlignment="1">
      <alignment horizontal="center" vertical="center" textRotation="90" wrapText="1"/>
    </xf>
    <xf numFmtId="0" fontId="1" fillId="0" borderId="40" xfId="0" applyFont="1" applyBorder="1" applyAlignment="1">
      <alignment vertical="center"/>
    </xf>
    <xf numFmtId="3" fontId="68" fillId="0" borderId="80" xfId="0" applyNumberFormat="1" applyFont="1" applyBorder="1" applyAlignment="1">
      <alignment horizontal="right" vertical="center" wrapText="1"/>
    </xf>
    <xf numFmtId="3" fontId="67" fillId="0" borderId="80" xfId="3" applyNumberFormat="1" applyFont="1" applyFill="1" applyBorder="1" applyAlignment="1">
      <alignment horizontal="right" vertical="center" wrapText="1"/>
    </xf>
    <xf numFmtId="3" fontId="60" fillId="0" borderId="80" xfId="3" applyNumberFormat="1" applyFont="1" applyFill="1" applyBorder="1" applyAlignment="1">
      <alignment horizontal="right" vertical="center" wrapText="1"/>
    </xf>
    <xf numFmtId="3" fontId="58" fillId="0" borderId="80" xfId="3" applyNumberFormat="1" applyFont="1" applyFill="1" applyBorder="1" applyAlignment="1">
      <alignment horizontal="right" vertical="center" wrapText="1"/>
    </xf>
    <xf numFmtId="0" fontId="91" fillId="6" borderId="43" xfId="0" applyFont="1" applyFill="1" applyBorder="1" applyAlignment="1">
      <alignment horizontal="center" vertical="center" wrapText="1"/>
    </xf>
    <xf numFmtId="3" fontId="60" fillId="0" borderId="40" xfId="3" applyNumberFormat="1" applyFont="1" applyFill="1" applyBorder="1" applyAlignment="1">
      <alignment horizontal="right" vertical="center" wrapText="1"/>
    </xf>
    <xf numFmtId="3" fontId="5" fillId="0" borderId="0" xfId="3" applyNumberFormat="1" applyFont="1" applyFill="1" applyBorder="1" applyAlignment="1">
      <alignment horizontal="right" vertical="center" wrapText="1"/>
    </xf>
    <xf numFmtId="3" fontId="8" fillId="0" borderId="0" xfId="3" applyNumberFormat="1" applyFont="1" applyFill="1" applyBorder="1" applyAlignment="1">
      <alignment horizontal="right" vertical="center" wrapText="1"/>
    </xf>
    <xf numFmtId="167" fontId="48" fillId="0" borderId="0" xfId="0" applyNumberFormat="1" applyFont="1" applyAlignment="1">
      <alignment vertical="center"/>
    </xf>
    <xf numFmtId="167" fontId="44" fillId="12" borderId="0" xfId="2" applyNumberFormat="1" applyFont="1" applyFill="1" applyAlignment="1">
      <alignment horizontal="center" vertical="center" wrapText="1"/>
    </xf>
    <xf numFmtId="0" fontId="44" fillId="0" borderId="22" xfId="2" applyFont="1" applyBorder="1" applyAlignment="1">
      <alignment horizontal="left" vertical="center" wrapText="1"/>
    </xf>
    <xf numFmtId="167" fontId="44" fillId="0" borderId="22" xfId="2" applyNumberFormat="1" applyFont="1" applyBorder="1" applyAlignment="1">
      <alignment horizontal="center" vertical="center" wrapText="1"/>
    </xf>
    <xf numFmtId="0" fontId="7" fillId="0" borderId="129" xfId="2" applyFont="1" applyBorder="1" applyAlignment="1">
      <alignment horizontal="left" vertical="center" wrapText="1"/>
    </xf>
    <xf numFmtId="2" fontId="7" fillId="0" borderId="129" xfId="2" applyNumberFormat="1" applyFont="1" applyBorder="1" applyAlignment="1">
      <alignment horizontal="center" vertical="center" wrapText="1"/>
    </xf>
    <xf numFmtId="10" fontId="94" fillId="3" borderId="129" xfId="1" applyNumberFormat="1" applyFont="1" applyFill="1" applyBorder="1" applyAlignment="1">
      <alignment horizontal="center" vertical="center" wrapText="1"/>
    </xf>
    <xf numFmtId="10" fontId="94" fillId="4" borderId="129" xfId="1" applyNumberFormat="1" applyFont="1" applyFill="1" applyBorder="1" applyAlignment="1">
      <alignment horizontal="center" vertical="center" wrapText="1"/>
    </xf>
    <xf numFmtId="10" fontId="94" fillId="21" borderId="2" xfId="1" applyNumberFormat="1" applyFont="1" applyFill="1" applyBorder="1" applyAlignment="1">
      <alignment horizontal="center"/>
    </xf>
    <xf numFmtId="0" fontId="93" fillId="21" borderId="126" xfId="2" applyFont="1" applyFill="1" applyBorder="1" applyAlignment="1">
      <alignment horizontal="left" vertical="center" wrapText="1"/>
    </xf>
    <xf numFmtId="0" fontId="93" fillId="21" borderId="127" xfId="2" applyFont="1" applyFill="1" applyBorder="1" applyAlignment="1">
      <alignment horizontal="left" vertical="center" wrapText="1"/>
    </xf>
    <xf numFmtId="0" fontId="93" fillId="21" borderId="128" xfId="2" applyFont="1" applyFill="1" applyBorder="1" applyAlignment="1">
      <alignment horizontal="left" vertical="center" wrapText="1"/>
    </xf>
    <xf numFmtId="0" fontId="84" fillId="2" borderId="0" xfId="0" applyFont="1" applyFill="1" applyAlignment="1">
      <alignment vertical="center"/>
    </xf>
    <xf numFmtId="0" fontId="32" fillId="19" borderId="130" xfId="2" applyFont="1" applyFill="1" applyBorder="1" applyAlignment="1">
      <alignment horizontal="center" vertical="center" textRotation="90" wrapText="1"/>
    </xf>
    <xf numFmtId="0" fontId="1" fillId="0" borderId="22" xfId="2" applyFont="1" applyBorder="1" applyAlignment="1">
      <alignment horizontal="left" vertical="center" wrapText="1"/>
    </xf>
    <xf numFmtId="0" fontId="1" fillId="12" borderId="22" xfId="2" applyFont="1" applyFill="1" applyBorder="1" applyAlignment="1">
      <alignment horizontal="center" vertical="center" wrapText="1"/>
    </xf>
    <xf numFmtId="167" fontId="1" fillId="12" borderId="22" xfId="2" applyNumberFormat="1" applyFont="1" applyFill="1" applyBorder="1" applyAlignment="1">
      <alignment horizontal="center" vertical="center" wrapText="1"/>
    </xf>
    <xf numFmtId="0" fontId="23" fillId="12" borderId="22" xfId="2" applyFont="1" applyFill="1" applyBorder="1" applyAlignment="1">
      <alignment horizontal="center" vertical="center" wrapText="1"/>
    </xf>
    <xf numFmtId="0" fontId="1" fillId="12" borderId="22" xfId="2" applyFont="1" applyFill="1" applyBorder="1" applyAlignment="1">
      <alignment horizontal="left" vertical="center" wrapText="1"/>
    </xf>
    <xf numFmtId="167" fontId="1" fillId="0" borderId="22" xfId="2" applyNumberFormat="1" applyFont="1" applyBorder="1" applyAlignment="1">
      <alignment horizontal="center" vertical="center" wrapText="1"/>
    </xf>
    <xf numFmtId="0" fontId="1" fillId="0" borderId="22" xfId="2" applyFont="1" applyBorder="1" applyAlignment="1">
      <alignment horizontal="center" vertical="center" wrapText="1"/>
    </xf>
    <xf numFmtId="0" fontId="1" fillId="0" borderId="24" xfId="2" applyFont="1" applyBorder="1" applyAlignment="1">
      <alignment horizontal="left" vertical="center" wrapText="1"/>
    </xf>
    <xf numFmtId="0" fontId="1" fillId="0" borderId="23" xfId="2" applyFont="1" applyBorder="1" applyAlignment="1">
      <alignment vertical="center" wrapText="1"/>
    </xf>
    <xf numFmtId="173" fontId="60" fillId="0" borderId="13" xfId="3" applyNumberFormat="1" applyFont="1" applyFill="1" applyBorder="1" applyAlignment="1">
      <alignment horizontal="right" vertical="center" wrapText="1"/>
    </xf>
    <xf numFmtId="0" fontId="7" fillId="0" borderId="40" xfId="0" applyFont="1" applyBorder="1" applyAlignment="1">
      <alignment horizontal="left" vertical="center"/>
    </xf>
    <xf numFmtId="3" fontId="68" fillId="0" borderId="40" xfId="0" applyNumberFormat="1" applyFont="1" applyBorder="1" applyAlignment="1">
      <alignment vertical="center"/>
    </xf>
    <xf numFmtId="3" fontId="68" fillId="0" borderId="79" xfId="0" applyNumberFormat="1" applyFont="1" applyBorder="1" applyAlignment="1">
      <alignment vertical="center"/>
    </xf>
    <xf numFmtId="0" fontId="18" fillId="0" borderId="22" xfId="2" applyFont="1" applyBorder="1" applyAlignment="1">
      <alignment horizontal="left" vertical="center" wrapText="1"/>
    </xf>
    <xf numFmtId="0" fontId="17" fillId="0" borderId="22" xfId="0" applyFont="1" applyBorder="1" applyAlignment="1">
      <alignment horizontal="left" vertical="center" wrapText="1"/>
    </xf>
    <xf numFmtId="3" fontId="17" fillId="0" borderId="22" xfId="2" applyNumberFormat="1" applyFont="1" applyBorder="1" applyAlignment="1">
      <alignment horizontal="center" vertical="center" wrapText="1"/>
    </xf>
    <xf numFmtId="0" fontId="17" fillId="0" borderId="22" xfId="2" applyFont="1" applyBorder="1" applyAlignment="1">
      <alignment horizontal="center" vertical="center" wrapText="1"/>
    </xf>
    <xf numFmtId="0" fontId="48" fillId="0" borderId="78" xfId="0" applyFont="1" applyBorder="1" applyAlignment="1">
      <alignment vertical="center"/>
    </xf>
    <xf numFmtId="172" fontId="41" fillId="0" borderId="0" xfId="0" applyNumberFormat="1" applyFont="1" applyAlignment="1">
      <alignment vertical="center"/>
    </xf>
    <xf numFmtId="0" fontId="66" fillId="0" borderId="0" xfId="0" applyFont="1" applyAlignment="1">
      <alignment vertical="center"/>
    </xf>
    <xf numFmtId="0" fontId="99" fillId="0" borderId="0" xfId="0" applyFont="1"/>
    <xf numFmtId="170" fontId="100" fillId="0" borderId="0" xfId="3" applyNumberFormat="1" applyFont="1" applyAlignment="1">
      <alignment vertical="center"/>
    </xf>
    <xf numFmtId="170" fontId="100" fillId="0" borderId="3" xfId="3" applyNumberFormat="1" applyFont="1" applyBorder="1" applyAlignment="1">
      <alignment vertical="center"/>
    </xf>
    <xf numFmtId="171" fontId="100" fillId="0" borderId="0" xfId="3" applyNumberFormat="1" applyFont="1" applyAlignment="1">
      <alignment vertical="center"/>
    </xf>
    <xf numFmtId="0" fontId="102" fillId="4" borderId="13" xfId="0" applyFont="1" applyFill="1" applyBorder="1"/>
    <xf numFmtId="1" fontId="102" fillId="4" borderId="40" xfId="0" applyNumberFormat="1" applyFont="1" applyFill="1" applyBorder="1"/>
    <xf numFmtId="10" fontId="1" fillId="0" borderId="13" xfId="1" quotePrefix="1" applyNumberFormat="1" applyFont="1" applyBorder="1" applyAlignment="1">
      <alignment horizontal="center" vertical="center" wrapText="1"/>
    </xf>
    <xf numFmtId="0" fontId="1" fillId="0" borderId="13" xfId="0" applyFont="1" applyBorder="1" applyAlignment="1">
      <alignment horizontal="left" vertical="center" wrapText="1"/>
    </xf>
    <xf numFmtId="0" fontId="58" fillId="0" borderId="13" xfId="0" applyFont="1" applyBorder="1" applyAlignment="1">
      <alignment horizontal="right" vertical="center" wrapText="1"/>
    </xf>
    <xf numFmtId="1" fontId="102" fillId="4" borderId="13" xfId="0" applyNumberFormat="1" applyFont="1" applyFill="1" applyBorder="1"/>
    <xf numFmtId="0" fontId="1" fillId="0" borderId="134" xfId="0" applyFont="1" applyBorder="1" applyAlignment="1">
      <alignment horizontal="left" vertical="center" wrapText="1"/>
    </xf>
    <xf numFmtId="0" fontId="0" fillId="0" borderId="136" xfId="0" applyBorder="1"/>
    <xf numFmtId="0" fontId="1" fillId="0" borderId="39" xfId="0" applyFont="1" applyBorder="1" applyAlignment="1">
      <alignment horizontal="left" vertical="center" wrapText="1"/>
    </xf>
    <xf numFmtId="1" fontId="105" fillId="0" borderId="13" xfId="0" applyNumberFormat="1" applyFont="1" applyBorder="1"/>
    <xf numFmtId="0" fontId="106" fillId="4" borderId="13" xfId="0" applyFont="1" applyFill="1" applyBorder="1"/>
    <xf numFmtId="0" fontId="38" fillId="0" borderId="2" xfId="2" applyFont="1" applyBorder="1" applyAlignment="1">
      <alignment horizontal="left" vertical="center" wrapText="1"/>
    </xf>
    <xf numFmtId="0" fontId="19" fillId="12" borderId="2" xfId="2" applyFont="1" applyFill="1" applyBorder="1" applyAlignment="1">
      <alignment horizontal="left" vertical="center" wrapText="1"/>
    </xf>
    <xf numFmtId="167" fontId="19" fillId="0" borderId="22" xfId="2" applyNumberFormat="1" applyFont="1" applyBorder="1" applyAlignment="1">
      <alignment horizontal="center" vertical="center" wrapText="1"/>
    </xf>
    <xf numFmtId="0" fontId="49" fillId="0" borderId="22" xfId="2" applyFont="1" applyBorder="1" applyAlignment="1">
      <alignment horizontal="center" vertical="center" wrapText="1"/>
    </xf>
    <xf numFmtId="0" fontId="103" fillId="0" borderId="0" xfId="0" applyFont="1" applyAlignment="1">
      <alignment vertical="center"/>
    </xf>
    <xf numFmtId="8" fontId="48" fillId="0" borderId="0" xfId="0" applyNumberFormat="1" applyFont="1" applyAlignment="1">
      <alignment vertical="center"/>
    </xf>
    <xf numFmtId="0" fontId="52" fillId="6" borderId="12" xfId="0" applyFont="1" applyFill="1" applyBorder="1" applyAlignment="1">
      <alignment vertical="center" textRotation="90"/>
    </xf>
    <xf numFmtId="0" fontId="52" fillId="6" borderId="0" xfId="0" applyFont="1" applyFill="1" applyAlignment="1">
      <alignment vertical="center" textRotation="90"/>
    </xf>
    <xf numFmtId="0" fontId="52" fillId="0" borderId="12" xfId="0" applyFont="1" applyBorder="1" applyAlignment="1">
      <alignment vertical="center" textRotation="90"/>
    </xf>
    <xf numFmtId="1" fontId="17" fillId="0" borderId="13" xfId="0" applyNumberFormat="1" applyFont="1" applyBorder="1"/>
    <xf numFmtId="1" fontId="17" fillId="0" borderId="66" xfId="0" applyNumberFormat="1" applyFont="1" applyBorder="1"/>
    <xf numFmtId="1" fontId="17" fillId="0" borderId="134" xfId="0" applyNumberFormat="1" applyFont="1" applyBorder="1"/>
    <xf numFmtId="1" fontId="18" fillId="0" borderId="134" xfId="0" applyNumberFormat="1" applyFont="1" applyBorder="1"/>
    <xf numFmtId="1" fontId="18" fillId="0" borderId="66" xfId="0" applyNumberFormat="1" applyFont="1" applyBorder="1"/>
    <xf numFmtId="174" fontId="18" fillId="0" borderId="134" xfId="0" applyNumberFormat="1" applyFont="1" applyBorder="1"/>
    <xf numFmtId="0" fontId="87" fillId="0" borderId="39" xfId="0" applyFont="1" applyBorder="1" applyAlignment="1">
      <alignment vertical="center" wrapText="1"/>
    </xf>
    <xf numFmtId="178" fontId="34" fillId="0" borderId="13" xfId="1" applyNumberFormat="1" applyFont="1" applyBorder="1" applyAlignment="1">
      <alignment horizontal="right" vertical="center" wrapText="1"/>
    </xf>
    <xf numFmtId="4" fontId="57" fillId="14" borderId="13" xfId="3" applyNumberFormat="1" applyFont="1" applyFill="1" applyBorder="1" applyAlignment="1">
      <alignment horizontal="right" vertical="center" wrapText="1"/>
    </xf>
    <xf numFmtId="2" fontId="0" fillId="0" borderId="0" xfId="0" applyNumberFormat="1"/>
    <xf numFmtId="2" fontId="3" fillId="0" borderId="0" xfId="0" applyNumberFormat="1" applyFont="1"/>
    <xf numFmtId="4" fontId="58" fillId="0" borderId="13" xfId="3" applyNumberFormat="1" applyFont="1" applyFill="1" applyBorder="1" applyAlignment="1">
      <alignment horizontal="right" vertical="center" wrapText="1"/>
    </xf>
    <xf numFmtId="167" fontId="60" fillId="0" borderId="13" xfId="3" applyNumberFormat="1" applyFont="1" applyFill="1" applyBorder="1" applyAlignment="1">
      <alignment horizontal="right" vertical="center" wrapText="1"/>
    </xf>
    <xf numFmtId="167" fontId="89" fillId="0" borderId="13" xfId="3" applyNumberFormat="1" applyFont="1" applyFill="1" applyBorder="1" applyAlignment="1">
      <alignment horizontal="right" vertical="center" wrapText="1"/>
    </xf>
    <xf numFmtId="167" fontId="57" fillId="14" borderId="13" xfId="3" applyNumberFormat="1" applyFont="1" applyFill="1" applyBorder="1" applyAlignment="1">
      <alignment horizontal="right" vertical="center" wrapText="1"/>
    </xf>
    <xf numFmtId="179" fontId="0" fillId="0" borderId="0" xfId="0" applyNumberFormat="1"/>
    <xf numFmtId="10" fontId="24" fillId="0" borderId="13" xfId="1" applyNumberFormat="1" applyFont="1" applyFill="1" applyBorder="1" applyAlignment="1">
      <alignment horizontal="center" vertical="center" wrapText="1"/>
    </xf>
    <xf numFmtId="0" fontId="107" fillId="0" borderId="0" xfId="0" applyFont="1" applyAlignment="1">
      <alignment vertical="center"/>
    </xf>
    <xf numFmtId="167" fontId="8" fillId="12" borderId="22" xfId="2" applyNumberFormat="1" applyFont="1" applyFill="1" applyBorder="1" applyAlignment="1">
      <alignment horizontal="center" vertical="center" wrapText="1"/>
    </xf>
    <xf numFmtId="9" fontId="17" fillId="0" borderId="0" xfId="1" applyFont="1"/>
    <xf numFmtId="168" fontId="17" fillId="0" borderId="0" xfId="1" applyNumberFormat="1" applyFont="1"/>
    <xf numFmtId="170" fontId="38" fillId="0" borderId="0" xfId="3" applyNumberFormat="1" applyFont="1" applyAlignment="1">
      <alignment vertical="center"/>
    </xf>
    <xf numFmtId="170" fontId="38" fillId="0" borderId="96" xfId="3" applyNumberFormat="1" applyFont="1" applyBorder="1" applyAlignment="1">
      <alignment vertical="center"/>
    </xf>
    <xf numFmtId="170" fontId="38" fillId="0" borderId="3" xfId="3" applyNumberFormat="1" applyFont="1" applyBorder="1" applyAlignment="1">
      <alignment vertical="center"/>
    </xf>
    <xf numFmtId="171" fontId="38" fillId="0" borderId="0" xfId="3" applyNumberFormat="1" applyFont="1" applyBorder="1" applyAlignment="1">
      <alignment vertical="center"/>
    </xf>
    <xf numFmtId="171" fontId="100" fillId="0" borderId="3" xfId="3" applyNumberFormat="1" applyFont="1" applyBorder="1" applyAlignment="1">
      <alignment vertical="center"/>
    </xf>
    <xf numFmtId="170" fontId="38" fillId="0" borderId="0" xfId="3" applyNumberFormat="1" applyFont="1" applyFill="1" applyAlignment="1">
      <alignment vertical="center"/>
    </xf>
    <xf numFmtId="167" fontId="38" fillId="0" borderId="22" xfId="2" applyNumberFormat="1" applyFont="1" applyBorder="1" applyAlignment="1">
      <alignment horizontal="center" vertical="center" wrapText="1"/>
    </xf>
    <xf numFmtId="0" fontId="17" fillId="0" borderId="10" xfId="0" applyFont="1" applyBorder="1" applyAlignment="1">
      <alignment horizontal="center" vertical="center"/>
    </xf>
    <xf numFmtId="0" fontId="17"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9" xfId="0" applyFont="1" applyBorder="1" applyAlignment="1">
      <alignment horizontal="center" vertical="center"/>
    </xf>
    <xf numFmtId="0" fontId="61" fillId="0" borderId="40" xfId="0" applyFont="1" applyBorder="1" applyAlignment="1">
      <alignment horizontal="left" vertical="center" wrapText="1"/>
    </xf>
    <xf numFmtId="3" fontId="88" fillId="0" borderId="13" xfId="3" applyNumberFormat="1" applyFont="1" applyFill="1" applyBorder="1" applyAlignment="1">
      <alignment horizontal="right" vertical="center" wrapText="1"/>
    </xf>
    <xf numFmtId="3" fontId="30" fillId="0" borderId="40" xfId="3" applyNumberFormat="1" applyFont="1" applyFill="1" applyBorder="1" applyAlignment="1">
      <alignment horizontal="right" vertical="center" wrapText="1"/>
    </xf>
    <xf numFmtId="1" fontId="18" fillId="0" borderId="40" xfId="0" applyNumberFormat="1" applyFont="1" applyBorder="1"/>
    <xf numFmtId="1" fontId="18" fillId="0" borderId="13" xfId="0" applyNumberFormat="1" applyFont="1" applyBorder="1"/>
    <xf numFmtId="174" fontId="18" fillId="0" borderId="13" xfId="0" applyNumberFormat="1" applyFont="1" applyBorder="1"/>
    <xf numFmtId="167" fontId="8" fillId="0" borderId="22" xfId="2" applyNumberFormat="1" applyFont="1" applyBorder="1" applyAlignment="1">
      <alignment horizontal="center" vertical="center" wrapText="1"/>
    </xf>
    <xf numFmtId="0" fontId="28" fillId="7" borderId="137" xfId="2" applyFont="1" applyFill="1" applyBorder="1" applyAlignment="1">
      <alignment horizontal="center" vertical="center" wrapText="1"/>
    </xf>
    <xf numFmtId="0" fontId="17" fillId="0" borderId="0" xfId="2" applyFont="1" applyAlignment="1">
      <alignment horizontal="center" vertical="center" wrapText="1"/>
    </xf>
    <xf numFmtId="173" fontId="18" fillId="0" borderId="22" xfId="2" applyNumberFormat="1" applyFont="1" applyBorder="1" applyAlignment="1">
      <alignment horizontal="center" vertical="center" wrapText="1"/>
    </xf>
    <xf numFmtId="10" fontId="18" fillId="0" borderId="22" xfId="2" applyNumberFormat="1" applyFont="1" applyBorder="1" applyAlignment="1">
      <alignment horizontal="center" vertical="center" wrapText="1"/>
    </xf>
    <xf numFmtId="170" fontId="100" fillId="0" borderId="0" xfId="3" applyNumberFormat="1" applyFont="1" applyBorder="1" applyAlignment="1">
      <alignment vertical="center"/>
    </xf>
    <xf numFmtId="0" fontId="17" fillId="0" borderId="6" xfId="0" applyFont="1" applyBorder="1" applyAlignment="1">
      <alignment horizontal="center" vertical="center"/>
    </xf>
    <xf numFmtId="170" fontId="100" fillId="0" borderId="4" xfId="3" applyNumberFormat="1" applyFont="1" applyBorder="1" applyAlignment="1">
      <alignment vertical="center"/>
    </xf>
    <xf numFmtId="170" fontId="100" fillId="0" borderId="101" xfId="3" applyNumberFormat="1" applyFont="1" applyBorder="1" applyAlignment="1">
      <alignment vertical="center"/>
    </xf>
    <xf numFmtId="0" fontId="17" fillId="0" borderId="138" xfId="0" applyFont="1" applyBorder="1" applyAlignment="1">
      <alignment horizontal="center" vertical="center" wrapText="1"/>
    </xf>
    <xf numFmtId="0" fontId="17" fillId="0" borderId="139" xfId="0" applyFont="1" applyBorder="1" applyAlignment="1">
      <alignment horizontal="center" vertical="center" wrapText="1"/>
    </xf>
    <xf numFmtId="170" fontId="17" fillId="15" borderId="139" xfId="3" applyNumberFormat="1" applyFont="1" applyFill="1" applyBorder="1" applyAlignment="1">
      <alignment vertical="center"/>
    </xf>
    <xf numFmtId="170" fontId="38" fillId="0" borderId="139" xfId="3" applyNumberFormat="1" applyFont="1" applyBorder="1" applyAlignment="1">
      <alignment vertical="center"/>
    </xf>
    <xf numFmtId="0" fontId="17" fillId="0" borderId="131" xfId="0" applyFont="1" applyBorder="1" applyAlignment="1">
      <alignment horizontal="center" vertical="center" wrapText="1"/>
    </xf>
    <xf numFmtId="0" fontId="17" fillId="0" borderId="141" xfId="0" applyFont="1" applyBorder="1" applyAlignment="1">
      <alignment horizontal="center" vertical="center" wrapText="1"/>
    </xf>
    <xf numFmtId="0" fontId="17" fillId="6" borderId="141" xfId="0" applyFont="1" applyFill="1" applyBorder="1" applyAlignment="1">
      <alignment horizontal="right" vertical="center" wrapText="1"/>
    </xf>
    <xf numFmtId="170" fontId="17" fillId="15" borderId="141" xfId="3" applyNumberFormat="1" applyFont="1" applyFill="1" applyBorder="1" applyAlignment="1">
      <alignment vertical="center"/>
    </xf>
    <xf numFmtId="170" fontId="38" fillId="0" borderId="141" xfId="3" applyNumberFormat="1" applyFont="1" applyBorder="1" applyAlignment="1">
      <alignment vertical="center"/>
    </xf>
    <xf numFmtId="0" fontId="70" fillId="0" borderId="0" xfId="0" applyFont="1" applyAlignment="1">
      <alignment horizontal="center" vertical="center"/>
    </xf>
    <xf numFmtId="164" fontId="75" fillId="8" borderId="142" xfId="3" applyFont="1" applyFill="1" applyBorder="1" applyAlignment="1">
      <alignment vertical="center" wrapText="1"/>
    </xf>
    <xf numFmtId="164" fontId="75" fillId="8" borderId="0" xfId="3" applyFont="1" applyFill="1" applyBorder="1" applyAlignment="1">
      <alignment vertical="center" wrapText="1"/>
    </xf>
    <xf numFmtId="170" fontId="38" fillId="0" borderId="101" xfId="3" applyNumberFormat="1" applyFont="1" applyBorder="1" applyAlignment="1">
      <alignment vertical="center"/>
    </xf>
    <xf numFmtId="170" fontId="38" fillId="0" borderId="144" xfId="3" applyNumberFormat="1" applyFont="1" applyBorder="1" applyAlignment="1">
      <alignment vertical="center"/>
    </xf>
    <xf numFmtId="170" fontId="100" fillId="0" borderId="141" xfId="3" applyNumberFormat="1" applyFont="1" applyBorder="1" applyAlignment="1">
      <alignment vertical="center"/>
    </xf>
    <xf numFmtId="0" fontId="17" fillId="0" borderId="139" xfId="0" applyFont="1" applyBorder="1" applyAlignment="1">
      <alignment horizontal="center" vertical="center"/>
    </xf>
    <xf numFmtId="0" fontId="17" fillId="6" borderId="139" xfId="0" applyFont="1" applyFill="1" applyBorder="1" applyAlignment="1">
      <alignment horizontal="right" vertical="center"/>
    </xf>
    <xf numFmtId="170" fontId="100" fillId="0" borderId="91" xfId="3" applyNumberFormat="1" applyFont="1" applyBorder="1" applyAlignment="1">
      <alignment vertical="center"/>
    </xf>
    <xf numFmtId="0" fontId="17" fillId="0" borderId="141" xfId="0" applyFont="1" applyBorder="1" applyAlignment="1">
      <alignment horizontal="center" vertical="center"/>
    </xf>
    <xf numFmtId="0" fontId="17" fillId="6" borderId="141" xfId="0" applyFont="1" applyFill="1" applyBorder="1" applyAlignment="1">
      <alignment horizontal="right" vertical="center"/>
    </xf>
    <xf numFmtId="170" fontId="100" fillId="0" borderId="133" xfId="3" applyNumberFormat="1" applyFont="1" applyBorder="1" applyAlignment="1">
      <alignment vertical="center"/>
    </xf>
    <xf numFmtId="0" fontId="17" fillId="0" borderId="4" xfId="0" applyFont="1" applyBorder="1" applyAlignment="1">
      <alignment horizontal="center" vertical="center"/>
    </xf>
    <xf numFmtId="0" fontId="17" fillId="6" borderId="4" xfId="0" applyFont="1" applyFill="1" applyBorder="1" applyAlignment="1">
      <alignment vertical="center"/>
    </xf>
    <xf numFmtId="0" fontId="17" fillId="15" borderId="4" xfId="0" applyFont="1" applyFill="1" applyBorder="1" applyAlignment="1">
      <alignment vertical="center"/>
    </xf>
    <xf numFmtId="0" fontId="17" fillId="6" borderId="0" xfId="0" applyFont="1" applyFill="1" applyAlignment="1">
      <alignment vertical="center"/>
    </xf>
    <xf numFmtId="0" fontId="17" fillId="15" borderId="0" xfId="0" applyFont="1" applyFill="1" applyAlignment="1">
      <alignment vertical="center"/>
    </xf>
    <xf numFmtId="0" fontId="17" fillId="0" borderId="139" xfId="0" applyFont="1" applyBorder="1" applyAlignment="1">
      <alignment horizontal="center"/>
    </xf>
    <xf numFmtId="0" fontId="17" fillId="6" borderId="139" xfId="0" applyFont="1" applyFill="1" applyBorder="1" applyAlignment="1">
      <alignment horizontal="right"/>
    </xf>
    <xf numFmtId="170" fontId="100" fillId="0" borderId="139" xfId="3" applyNumberFormat="1" applyFont="1" applyBorder="1" applyAlignment="1">
      <alignment vertical="center"/>
    </xf>
    <xf numFmtId="170" fontId="100" fillId="0" borderId="140" xfId="3" applyNumberFormat="1" applyFont="1" applyBorder="1" applyAlignment="1">
      <alignment vertical="center"/>
    </xf>
    <xf numFmtId="0" fontId="17" fillId="0" borderId="132" xfId="0" applyFont="1" applyBorder="1" applyAlignment="1">
      <alignment horizontal="center" vertical="center" wrapText="1"/>
    </xf>
    <xf numFmtId="171" fontId="100" fillId="0" borderId="0" xfId="3" applyNumberFormat="1" applyFont="1" applyBorder="1" applyAlignment="1">
      <alignment vertical="center"/>
    </xf>
    <xf numFmtId="0" fontId="17" fillId="0" borderId="138" xfId="0" applyFont="1" applyBorder="1" applyAlignment="1">
      <alignment horizontal="center" vertical="center"/>
    </xf>
    <xf numFmtId="0" fontId="17" fillId="0" borderId="132" xfId="0" applyFont="1" applyBorder="1" applyAlignment="1">
      <alignment horizontal="center" vertical="center"/>
    </xf>
    <xf numFmtId="0" fontId="17" fillId="0" borderId="131" xfId="0" applyFont="1" applyBorder="1" applyAlignment="1">
      <alignment horizontal="center" vertical="center"/>
    </xf>
    <xf numFmtId="10" fontId="8" fillId="0" borderId="13" xfId="3" applyNumberFormat="1" applyFont="1" applyFill="1" applyBorder="1" applyAlignment="1">
      <alignment horizontal="right" vertical="center" wrapText="1"/>
    </xf>
    <xf numFmtId="1" fontId="17" fillId="0" borderId="39" xfId="0" applyNumberFormat="1" applyFont="1" applyBorder="1"/>
    <xf numFmtId="1" fontId="22" fillId="0" borderId="123" xfId="0" applyNumberFormat="1" applyFont="1" applyBorder="1"/>
    <xf numFmtId="174" fontId="105" fillId="0" borderId="13" xfId="0" applyNumberFormat="1" applyFont="1" applyBorder="1"/>
    <xf numFmtId="174" fontId="17" fillId="0" borderId="13" xfId="0" applyNumberFormat="1" applyFont="1" applyBorder="1"/>
    <xf numFmtId="0" fontId="17" fillId="0" borderId="13" xfId="0" applyFont="1" applyBorder="1"/>
    <xf numFmtId="167" fontId="8" fillId="0" borderId="13" xfId="3" applyNumberFormat="1" applyFont="1" applyFill="1" applyBorder="1" applyAlignment="1">
      <alignment horizontal="right" vertical="center" wrapText="1"/>
    </xf>
    <xf numFmtId="167" fontId="59" fillId="0" borderId="13" xfId="3" applyNumberFormat="1" applyFont="1" applyFill="1" applyBorder="1" applyAlignment="1">
      <alignment horizontal="right" vertical="center" wrapText="1"/>
    </xf>
    <xf numFmtId="167" fontId="105" fillId="0" borderId="13" xfId="0" applyNumberFormat="1" applyFont="1" applyBorder="1" applyAlignment="1">
      <alignment horizontal="right"/>
    </xf>
    <xf numFmtId="3" fontId="8" fillId="0" borderId="66" xfId="3" applyNumberFormat="1" applyFont="1" applyFill="1" applyBorder="1" applyAlignment="1">
      <alignment horizontal="right" vertical="center" wrapText="1"/>
    </xf>
    <xf numFmtId="0" fontId="104" fillId="0" borderId="0" xfId="0" applyFont="1" applyAlignment="1">
      <alignment horizontal="center" vertical="center" wrapText="1"/>
    </xf>
    <xf numFmtId="0" fontId="16" fillId="7" borderId="74" xfId="2" applyFont="1" applyFill="1" applyBorder="1" applyAlignment="1">
      <alignment horizontal="center" vertical="center" wrapText="1"/>
    </xf>
    <xf numFmtId="0" fontId="28" fillId="7" borderId="74" xfId="2" applyFont="1" applyFill="1" applyBorder="1" applyAlignment="1">
      <alignment horizontal="center" vertical="center" wrapText="1"/>
    </xf>
    <xf numFmtId="0" fontId="18" fillId="0" borderId="22" xfId="0" applyFont="1" applyBorder="1" applyAlignment="1">
      <alignment vertical="center"/>
    </xf>
    <xf numFmtId="165" fontId="66" fillId="0" borderId="22" xfId="2" applyNumberFormat="1" applyFont="1" applyBorder="1" applyAlignment="1">
      <alignment horizontal="center" vertical="center" wrapText="1"/>
    </xf>
    <xf numFmtId="0" fontId="8" fillId="0" borderId="22" xfId="0" applyFont="1" applyBorder="1" applyAlignment="1">
      <alignment vertical="center"/>
    </xf>
    <xf numFmtId="0" fontId="17" fillId="0" borderId="78" xfId="2" applyFont="1" applyBorder="1" applyAlignment="1">
      <alignment horizontal="left" vertical="center" wrapText="1"/>
    </xf>
    <xf numFmtId="167" fontId="44" fillId="0" borderId="0" xfId="2" applyNumberFormat="1" applyFont="1" applyAlignment="1">
      <alignment horizontal="center" vertical="center" wrapText="1"/>
    </xf>
    <xf numFmtId="167" fontId="18" fillId="0" borderId="0" xfId="2" applyNumberFormat="1" applyFont="1" applyAlignment="1">
      <alignment horizontal="center" vertical="center" wrapText="1"/>
    </xf>
    <xf numFmtId="0" fontId="44" fillId="12" borderId="22" xfId="2" applyFont="1" applyFill="1" applyBorder="1" applyAlignment="1">
      <alignment horizontal="left" vertical="center" wrapText="1"/>
    </xf>
    <xf numFmtId="176" fontId="44" fillId="0" borderId="22" xfId="3" applyNumberFormat="1" applyFont="1" applyFill="1" applyBorder="1" applyAlignment="1">
      <alignment horizontal="center" vertical="center"/>
    </xf>
    <xf numFmtId="177" fontId="44" fillId="0" borderId="22" xfId="3" applyNumberFormat="1" applyFont="1" applyFill="1" applyBorder="1" applyAlignment="1">
      <alignment horizontal="center" vertical="center"/>
    </xf>
    <xf numFmtId="176" fontId="18" fillId="0" borderId="22" xfId="3" applyNumberFormat="1" applyFont="1" applyBorder="1" applyAlignment="1">
      <alignment horizontal="center" vertical="center"/>
    </xf>
    <xf numFmtId="0" fontId="95" fillId="0" borderId="22" xfId="2" applyFont="1" applyBorder="1" applyAlignment="1">
      <alignment horizontal="left" vertical="center" wrapText="1"/>
    </xf>
    <xf numFmtId="0" fontId="19" fillId="0" borderId="148" xfId="0" applyFont="1" applyBorder="1" applyAlignment="1">
      <alignment vertical="center"/>
    </xf>
    <xf numFmtId="167" fontId="101" fillId="0" borderId="0" xfId="2" applyNumberFormat="1" applyFont="1" applyAlignment="1">
      <alignment horizontal="center" vertical="center" wrapText="1"/>
    </xf>
    <xf numFmtId="10" fontId="101" fillId="0" borderId="0" xfId="1" applyNumberFormat="1" applyFont="1" applyBorder="1" applyAlignment="1">
      <alignment horizontal="center" vertical="center" wrapText="1"/>
    </xf>
    <xf numFmtId="10" fontId="17" fillId="0" borderId="0" xfId="1" applyNumberFormat="1" applyFont="1" applyFill="1" applyBorder="1" applyAlignment="1">
      <alignment horizontal="center" vertical="center" wrapText="1"/>
    </xf>
    <xf numFmtId="10" fontId="17" fillId="0" borderId="130" xfId="1" applyNumberFormat="1" applyFont="1" applyFill="1" applyBorder="1" applyAlignment="1">
      <alignment horizontal="center" vertical="center" wrapText="1"/>
    </xf>
    <xf numFmtId="0" fontId="44" fillId="12" borderId="22" xfId="2" applyFont="1" applyFill="1" applyBorder="1" applyAlignment="1">
      <alignment horizontal="center" vertical="center" wrapText="1"/>
    </xf>
    <xf numFmtId="10" fontId="44" fillId="0" borderId="22" xfId="1" applyNumberFormat="1" applyFont="1" applyFill="1" applyBorder="1" applyAlignment="1">
      <alignment horizontal="center" vertical="center" wrapText="1"/>
    </xf>
    <xf numFmtId="0" fontId="34" fillId="12" borderId="22" xfId="2" applyFont="1" applyFill="1" applyBorder="1" applyAlignment="1">
      <alignment horizontal="left" vertical="center" wrapText="1"/>
    </xf>
    <xf numFmtId="165" fontId="34" fillId="12" borderId="22" xfId="2" applyNumberFormat="1" applyFont="1" applyFill="1" applyBorder="1" applyAlignment="1">
      <alignment horizontal="center" vertical="center" wrapText="1"/>
    </xf>
    <xf numFmtId="166" fontId="98" fillId="12" borderId="22" xfId="2" applyNumberFormat="1" applyFont="1" applyFill="1" applyBorder="1" applyAlignment="1">
      <alignment horizontal="center" vertical="center" wrapText="1"/>
    </xf>
    <xf numFmtId="180" fontId="98" fillId="12" borderId="22" xfId="2" applyNumberFormat="1" applyFont="1" applyFill="1" applyBorder="1" applyAlignment="1">
      <alignment horizontal="center" vertical="center" wrapText="1"/>
    </xf>
    <xf numFmtId="181" fontId="98" fillId="12" borderId="22" xfId="2" applyNumberFormat="1" applyFont="1" applyFill="1" applyBorder="1" applyAlignment="1">
      <alignment horizontal="center" vertical="center" wrapText="1"/>
    </xf>
    <xf numFmtId="0" fontId="22" fillId="0" borderId="22" xfId="2" applyFont="1" applyBorder="1" applyAlignment="1">
      <alignment horizontal="left" vertical="center" wrapText="1"/>
    </xf>
    <xf numFmtId="166" fontId="66" fillId="0" borderId="22" xfId="2" applyNumberFormat="1" applyFont="1" applyBorder="1" applyAlignment="1">
      <alignment horizontal="center" vertical="center" wrapText="1"/>
    </xf>
    <xf numFmtId="0" fontId="34" fillId="0" borderId="22" xfId="2" applyFont="1" applyBorder="1" applyAlignment="1">
      <alignment horizontal="left" vertical="center" wrapText="1"/>
    </xf>
    <xf numFmtId="166" fontId="34" fillId="12" borderId="22" xfId="2" applyNumberFormat="1" applyFont="1" applyFill="1" applyBorder="1" applyAlignment="1">
      <alignment horizontal="center" vertical="center" wrapText="1"/>
    </xf>
    <xf numFmtId="166" fontId="34" fillId="0" borderId="22" xfId="2" applyNumberFormat="1" applyFont="1" applyBorder="1" applyAlignment="1">
      <alignment horizontal="center" vertical="center" wrapText="1"/>
    </xf>
    <xf numFmtId="3" fontId="18" fillId="0" borderId="22" xfId="2" applyNumberFormat="1" applyFont="1" applyBorder="1" applyAlignment="1">
      <alignment horizontal="center" vertical="center" wrapText="1"/>
    </xf>
    <xf numFmtId="174" fontId="22" fillId="0" borderId="22" xfId="2" applyNumberFormat="1" applyFont="1" applyBorder="1" applyAlignment="1">
      <alignment horizontal="center" vertical="center" wrapText="1"/>
    </xf>
    <xf numFmtId="174" fontId="18" fillId="0" borderId="22" xfId="2" applyNumberFormat="1" applyFont="1" applyBorder="1" applyAlignment="1">
      <alignment horizontal="center" vertical="center" wrapText="1"/>
    </xf>
    <xf numFmtId="0" fontId="8" fillId="0" borderId="40" xfId="0" applyFont="1" applyBorder="1" applyAlignment="1">
      <alignment horizontal="left" vertical="center" wrapText="1"/>
    </xf>
    <xf numFmtId="0" fontId="108" fillId="0" borderId="22" xfId="0" applyFont="1" applyBorder="1" applyAlignment="1">
      <alignment horizontal="left" vertical="center" wrapText="1" indent="2"/>
    </xf>
    <xf numFmtId="0" fontId="8" fillId="0" borderId="125" xfId="2" applyFont="1" applyBorder="1" applyAlignment="1">
      <alignment horizontal="left" vertical="center"/>
    </xf>
    <xf numFmtId="0" fontId="1" fillId="0" borderId="125" xfId="2" applyFont="1" applyBorder="1" applyAlignment="1">
      <alignment horizontal="center" vertical="center" wrapText="1"/>
    </xf>
    <xf numFmtId="10" fontId="1" fillId="0" borderId="28" xfId="1" applyNumberFormat="1" applyFont="1" applyFill="1" applyBorder="1" applyAlignment="1">
      <alignment horizontal="center" vertical="center" wrapText="1"/>
    </xf>
    <xf numFmtId="0" fontId="8" fillId="0" borderId="28" xfId="2" applyFont="1" applyBorder="1" applyAlignment="1">
      <alignment horizontal="left" vertical="center" wrapText="1"/>
    </xf>
    <xf numFmtId="0" fontId="1" fillId="0" borderId="28" xfId="2" applyFont="1" applyBorder="1" applyAlignment="1">
      <alignment horizontal="center" vertical="center" wrapText="1"/>
    </xf>
    <xf numFmtId="165" fontId="108" fillId="0" borderId="28" xfId="2" applyNumberFormat="1" applyFont="1" applyBorder="1" applyAlignment="1">
      <alignment horizontal="center" vertical="center" wrapText="1"/>
    </xf>
    <xf numFmtId="166" fontId="108" fillId="0" borderId="28" xfId="2" applyNumberFormat="1" applyFont="1" applyBorder="1" applyAlignment="1">
      <alignment horizontal="center" vertical="center" wrapText="1"/>
    </xf>
    <xf numFmtId="0" fontId="7" fillId="12" borderId="77" xfId="2" applyFont="1" applyFill="1" applyBorder="1" applyAlignment="1">
      <alignment vertical="center" wrapText="1"/>
    </xf>
    <xf numFmtId="0" fontId="7" fillId="12" borderId="24" xfId="2" applyFont="1" applyFill="1" applyBorder="1" applyAlignment="1">
      <alignment vertical="center" wrapText="1"/>
    </xf>
    <xf numFmtId="10" fontId="19" fillId="0" borderId="130" xfId="2" applyNumberFormat="1" applyFont="1" applyBorder="1" applyAlignment="1">
      <alignment horizontal="center" vertical="center" wrapText="1"/>
    </xf>
    <xf numFmtId="0" fontId="46" fillId="0" borderId="0" xfId="0" applyFont="1" applyAlignment="1">
      <alignment vertical="center" textRotation="90"/>
    </xf>
    <xf numFmtId="0" fontId="32" fillId="0" borderId="0" xfId="2" applyFont="1" applyAlignment="1">
      <alignment vertical="center" textRotation="90" wrapText="1"/>
    </xf>
    <xf numFmtId="182" fontId="38" fillId="0" borderId="139" xfId="3" applyNumberFormat="1" applyFont="1" applyBorder="1" applyAlignment="1">
      <alignment vertical="center"/>
    </xf>
    <xf numFmtId="182" fontId="38" fillId="0" borderId="140" xfId="3" applyNumberFormat="1" applyFont="1" applyBorder="1" applyAlignment="1">
      <alignment vertical="center"/>
    </xf>
    <xf numFmtId="182" fontId="38" fillId="0" borderId="0" xfId="3" applyNumberFormat="1" applyFont="1" applyBorder="1" applyAlignment="1">
      <alignment vertical="center"/>
    </xf>
    <xf numFmtId="182" fontId="100" fillId="0" borderId="0" xfId="3" applyNumberFormat="1" applyFont="1" applyBorder="1" applyAlignment="1">
      <alignment vertical="center"/>
    </xf>
    <xf numFmtId="182" fontId="100" fillId="0" borderId="91" xfId="3" applyNumberFormat="1" applyFont="1" applyBorder="1" applyAlignment="1">
      <alignment vertical="center"/>
    </xf>
    <xf numFmtId="182" fontId="38" fillId="0" borderId="0" xfId="3" applyNumberFormat="1" applyFont="1" applyFill="1" applyBorder="1" applyAlignment="1">
      <alignment vertical="center"/>
    </xf>
    <xf numFmtId="164" fontId="18" fillId="0" borderId="0" xfId="3" applyFont="1" applyFill="1" applyAlignment="1">
      <alignment vertical="center"/>
    </xf>
    <xf numFmtId="164" fontId="48" fillId="0" borderId="0" xfId="3" quotePrefix="1" applyFont="1" applyFill="1" applyAlignment="1">
      <alignment vertical="center"/>
    </xf>
    <xf numFmtId="10" fontId="48" fillId="0" borderId="0" xfId="0" applyNumberFormat="1" applyFont="1" applyAlignment="1">
      <alignment vertical="center"/>
    </xf>
    <xf numFmtId="10" fontId="18" fillId="0" borderId="0" xfId="0" applyNumberFormat="1" applyFont="1" applyAlignment="1">
      <alignment vertical="center"/>
    </xf>
    <xf numFmtId="10" fontId="18" fillId="0" borderId="0" xfId="3" applyNumberFormat="1" applyFont="1" applyAlignment="1">
      <alignment horizontal="right" vertical="center"/>
    </xf>
    <xf numFmtId="9" fontId="18" fillId="0" borderId="0" xfId="1" applyFont="1" applyFill="1" applyAlignment="1">
      <alignment vertical="center"/>
    </xf>
    <xf numFmtId="183" fontId="18" fillId="0" borderId="0" xfId="1" applyNumberFormat="1" applyFont="1" applyFill="1" applyAlignment="1">
      <alignment vertical="center"/>
    </xf>
    <xf numFmtId="2" fontId="42" fillId="2" borderId="58" xfId="2" applyNumberFormat="1" applyFont="1" applyFill="1" applyBorder="1" applyAlignment="1">
      <alignment horizontal="center" vertical="center" wrapText="1"/>
    </xf>
    <xf numFmtId="2" fontId="42" fillId="2" borderId="56" xfId="2" applyNumberFormat="1" applyFont="1" applyFill="1" applyBorder="1" applyAlignment="1">
      <alignment horizontal="center" vertical="center" wrapText="1"/>
    </xf>
    <xf numFmtId="4" fontId="0" fillId="0" borderId="0" xfId="0" applyNumberFormat="1"/>
    <xf numFmtId="10" fontId="94" fillId="22" borderId="2" xfId="1" applyNumberFormat="1" applyFont="1" applyFill="1" applyBorder="1" applyAlignment="1">
      <alignment horizontal="center" vertical="center"/>
    </xf>
    <xf numFmtId="179" fontId="44" fillId="12" borderId="22" xfId="2" applyNumberFormat="1" applyFont="1" applyFill="1" applyBorder="1" applyAlignment="1">
      <alignment horizontal="center" vertical="center" wrapText="1"/>
    </xf>
    <xf numFmtId="174" fontId="0" fillId="0" borderId="0" xfId="0" applyNumberFormat="1"/>
    <xf numFmtId="178" fontId="108" fillId="0" borderId="28" xfId="2" applyNumberFormat="1" applyFont="1" applyBorder="1" applyAlignment="1">
      <alignment horizontal="center" vertical="center" wrapText="1"/>
    </xf>
    <xf numFmtId="1" fontId="22" fillId="2" borderId="40" xfId="0" applyNumberFormat="1" applyFont="1" applyFill="1" applyBorder="1"/>
    <xf numFmtId="2" fontId="22" fillId="0" borderId="40" xfId="3" applyNumberFormat="1" applyFont="1" applyFill="1" applyBorder="1"/>
    <xf numFmtId="1" fontId="22" fillId="2" borderId="80" xfId="0" applyNumberFormat="1" applyFont="1" applyFill="1" applyBorder="1"/>
    <xf numFmtId="1" fontId="22" fillId="0" borderId="40" xfId="0" applyNumberFormat="1" applyFont="1" applyBorder="1"/>
    <xf numFmtId="1" fontId="22" fillId="0" borderId="13" xfId="0" applyNumberFormat="1" applyFont="1" applyBorder="1"/>
    <xf numFmtId="3" fontId="8" fillId="0" borderId="13" xfId="3" applyNumberFormat="1" applyFont="1" applyFill="1" applyBorder="1" applyAlignment="1">
      <alignment horizontal="center" vertical="center" wrapText="1"/>
    </xf>
    <xf numFmtId="0" fontId="22" fillId="0" borderId="13" xfId="0" applyFont="1" applyBorder="1"/>
    <xf numFmtId="167" fontId="1" fillId="23" borderId="22" xfId="2" applyNumberFormat="1" applyFont="1" applyFill="1" applyBorder="1" applyAlignment="1">
      <alignment horizontal="center" vertical="center" wrapText="1"/>
    </xf>
    <xf numFmtId="1" fontId="18" fillId="0" borderId="0" xfId="0" applyNumberFormat="1" applyFont="1" applyAlignment="1">
      <alignment vertical="center"/>
    </xf>
    <xf numFmtId="0" fontId="1" fillId="2" borderId="22" xfId="2" applyFont="1" applyFill="1" applyBorder="1" applyAlignment="1">
      <alignment horizontal="left" vertical="center" wrapText="1"/>
    </xf>
    <xf numFmtId="0" fontId="1" fillId="23" borderId="22" xfId="2" applyFont="1" applyFill="1" applyBorder="1" applyAlignment="1">
      <alignment horizontal="center" vertical="center" wrapText="1"/>
    </xf>
    <xf numFmtId="167" fontId="1" fillId="2" borderId="22" xfId="2" applyNumberFormat="1" applyFont="1" applyFill="1" applyBorder="1" applyAlignment="1">
      <alignment horizontal="center" vertical="center" wrapText="1"/>
    </xf>
    <xf numFmtId="0" fontId="39" fillId="2" borderId="0" xfId="0" applyFont="1" applyFill="1" applyAlignment="1">
      <alignment vertical="center"/>
    </xf>
    <xf numFmtId="0" fontId="40" fillId="2" borderId="0" xfId="0" applyFont="1" applyFill="1" applyAlignment="1">
      <alignment vertical="center"/>
    </xf>
    <xf numFmtId="0" fontId="22" fillId="2" borderId="0" xfId="0" applyFont="1" applyFill="1" applyAlignment="1">
      <alignment vertical="center"/>
    </xf>
    <xf numFmtId="1" fontId="22" fillId="2" borderId="13" xfId="0" applyNumberFormat="1" applyFont="1" applyFill="1" applyBorder="1"/>
    <xf numFmtId="4" fontId="44" fillId="12" borderId="22" xfId="2" applyNumberFormat="1" applyFont="1" applyFill="1" applyBorder="1" applyAlignment="1">
      <alignment horizontal="center" vertical="center" wrapText="1"/>
    </xf>
    <xf numFmtId="183" fontId="76" fillId="0" borderId="0" xfId="1" applyNumberFormat="1" applyFont="1"/>
    <xf numFmtId="0" fontId="32" fillId="19" borderId="30" xfId="2" applyFont="1" applyFill="1" applyBorder="1" applyAlignment="1">
      <alignment vertical="center" textRotation="90" wrapText="1"/>
    </xf>
    <xf numFmtId="0" fontId="32" fillId="19" borderId="78" xfId="2" applyFont="1" applyFill="1" applyBorder="1" applyAlignment="1">
      <alignment vertical="center" textRotation="90" wrapText="1"/>
    </xf>
    <xf numFmtId="167" fontId="0" fillId="0" borderId="0" xfId="0" applyNumberFormat="1"/>
    <xf numFmtId="179" fontId="1" fillId="0" borderId="22" xfId="2" applyNumberFormat="1" applyFont="1" applyBorder="1" applyAlignment="1">
      <alignment horizontal="center" vertical="center" wrapText="1"/>
    </xf>
    <xf numFmtId="0" fontId="22" fillId="2" borderId="13" xfId="0" applyFont="1" applyFill="1" applyBorder="1"/>
    <xf numFmtId="174" fontId="18" fillId="0" borderId="0" xfId="0" applyNumberFormat="1" applyFont="1" applyAlignment="1">
      <alignment vertical="center"/>
    </xf>
    <xf numFmtId="3" fontId="8" fillId="2" borderId="13" xfId="3" applyNumberFormat="1" applyFont="1" applyFill="1" applyBorder="1" applyAlignment="1">
      <alignment horizontal="center" vertical="center" wrapText="1"/>
    </xf>
    <xf numFmtId="10" fontId="18" fillId="0" borderId="0" xfId="1" applyNumberFormat="1" applyFont="1" applyFill="1" applyAlignment="1">
      <alignment vertical="center"/>
    </xf>
    <xf numFmtId="10" fontId="18" fillId="0" borderId="0" xfId="1" applyNumberFormat="1" applyFont="1" applyAlignment="1">
      <alignment horizontal="center" vertical="center" wrapText="1"/>
    </xf>
    <xf numFmtId="174" fontId="22" fillId="2" borderId="40" xfId="0" applyNumberFormat="1" applyFont="1" applyFill="1" applyBorder="1"/>
    <xf numFmtId="174" fontId="5" fillId="0" borderId="13" xfId="3" applyNumberFormat="1" applyFont="1" applyFill="1" applyBorder="1" applyAlignment="1">
      <alignment horizontal="right" vertical="center" wrapText="1"/>
    </xf>
    <xf numFmtId="0" fontId="105" fillId="0" borderId="0" xfId="0" applyFont="1"/>
    <xf numFmtId="167" fontId="17" fillId="23" borderId="22" xfId="2" applyNumberFormat="1" applyFont="1" applyFill="1" applyBorder="1" applyAlignment="1">
      <alignment horizontal="center" vertical="center" wrapText="1"/>
    </xf>
    <xf numFmtId="0" fontId="3" fillId="0" borderId="0" xfId="0" applyFont="1" applyAlignment="1">
      <alignment horizontal="center"/>
    </xf>
    <xf numFmtId="0" fontId="17" fillId="0" borderId="14" xfId="2" applyFont="1" applyBorder="1" applyAlignment="1">
      <alignment horizontal="center" vertical="center" wrapText="1"/>
    </xf>
    <xf numFmtId="0" fontId="11" fillId="0" borderId="0" xfId="0" applyFont="1" applyAlignment="1">
      <alignment horizontal="left" vertical="center" wrapText="1"/>
    </xf>
    <xf numFmtId="3" fontId="68" fillId="0" borderId="40" xfId="0" applyNumberFormat="1" applyFont="1" applyBorder="1" applyAlignment="1">
      <alignment horizontal="right" vertical="center" wrapText="1"/>
    </xf>
    <xf numFmtId="3" fontId="68" fillId="0" borderId="79" xfId="0" applyNumberFormat="1" applyFont="1" applyBorder="1" applyAlignment="1">
      <alignment horizontal="right" vertical="center" wrapText="1"/>
    </xf>
    <xf numFmtId="0" fontId="52" fillId="6" borderId="0" xfId="0" applyFont="1" applyFill="1" applyAlignment="1">
      <alignment horizontal="center" vertical="center" textRotation="90" wrapText="1"/>
    </xf>
    <xf numFmtId="3" fontId="77" fillId="0" borderId="40" xfId="0" applyNumberFormat="1" applyFont="1" applyBorder="1" applyAlignment="1">
      <alignment horizontal="right" vertical="center" wrapText="1"/>
    </xf>
    <xf numFmtId="3" fontId="77" fillId="0" borderId="79" xfId="0" applyNumberFormat="1" applyFont="1" applyBorder="1" applyAlignment="1">
      <alignment horizontal="right" vertical="center" wrapText="1"/>
    </xf>
    <xf numFmtId="0" fontId="6" fillId="6" borderId="0" xfId="0" applyFont="1" applyFill="1" applyAlignment="1">
      <alignment horizontal="right"/>
    </xf>
    <xf numFmtId="0" fontId="6" fillId="6" borderId="12" xfId="0" applyFont="1" applyFill="1" applyBorder="1" applyAlignment="1">
      <alignment horizontal="right"/>
    </xf>
    <xf numFmtId="0" fontId="52" fillId="6" borderId="12" xfId="0" applyFont="1" applyFill="1" applyBorder="1" applyAlignment="1">
      <alignment horizontal="center" vertical="center" textRotation="90"/>
    </xf>
    <xf numFmtId="0" fontId="7" fillId="14" borderId="40" xfId="0" applyFont="1" applyFill="1" applyBorder="1" applyAlignment="1">
      <alignment horizontal="left" vertical="center" wrapText="1"/>
    </xf>
    <xf numFmtId="0" fontId="7" fillId="14" borderId="80" xfId="0" applyFont="1" applyFill="1" applyBorder="1" applyAlignment="1">
      <alignment horizontal="left" vertical="center" wrapText="1"/>
    </xf>
    <xf numFmtId="0" fontId="7" fillId="14" borderId="44" xfId="0" applyFont="1" applyFill="1" applyBorder="1" applyAlignment="1">
      <alignment horizontal="left" vertical="center" wrapText="1"/>
    </xf>
    <xf numFmtId="3" fontId="65" fillId="0" borderId="40" xfId="0" applyNumberFormat="1" applyFont="1" applyBorder="1" applyAlignment="1">
      <alignment horizontal="right" vertical="center" wrapText="1"/>
    </xf>
    <xf numFmtId="3" fontId="65" fillId="0" borderId="79" xfId="0" applyNumberFormat="1" applyFont="1" applyBorder="1" applyAlignment="1">
      <alignment horizontal="right" vertical="center" wrapText="1"/>
    </xf>
    <xf numFmtId="0" fontId="52" fillId="6" borderId="12" xfId="0" applyFont="1" applyFill="1" applyBorder="1" applyAlignment="1">
      <alignment horizontal="center" textRotation="90"/>
    </xf>
    <xf numFmtId="0" fontId="6" fillId="6" borderId="61" xfId="2" applyFont="1" applyFill="1" applyBorder="1" applyAlignment="1">
      <alignment horizontal="center" vertical="center" wrapText="1"/>
    </xf>
    <xf numFmtId="0" fontId="6" fillId="6" borderId="62" xfId="2" applyFont="1" applyFill="1" applyBorder="1" applyAlignment="1">
      <alignment horizontal="center" vertical="center" wrapText="1"/>
    </xf>
    <xf numFmtId="0" fontId="6" fillId="6" borderId="63" xfId="2" applyFont="1" applyFill="1" applyBorder="1" applyAlignment="1">
      <alignment horizontal="center" vertical="center" wrapText="1"/>
    </xf>
    <xf numFmtId="0" fontId="4" fillId="6" borderId="68" xfId="2" applyFont="1" applyFill="1" applyBorder="1" applyAlignment="1">
      <alignment horizontal="center" vertical="center" wrapText="1"/>
    </xf>
    <xf numFmtId="0" fontId="4" fillId="6" borderId="69" xfId="2" applyFont="1" applyFill="1" applyBorder="1" applyAlignment="1">
      <alignment horizontal="center" vertical="center" wrapText="1"/>
    </xf>
    <xf numFmtId="0" fontId="4" fillId="6" borderId="70" xfId="2" applyFont="1" applyFill="1" applyBorder="1" applyAlignment="1">
      <alignment horizontal="center" vertical="center" wrapText="1"/>
    </xf>
    <xf numFmtId="0" fontId="52" fillId="6" borderId="44" xfId="0" applyFont="1" applyFill="1" applyBorder="1" applyAlignment="1">
      <alignment horizontal="center" vertical="center" textRotation="90" wrapText="1"/>
    </xf>
    <xf numFmtId="0" fontId="52" fillId="6" borderId="12" xfId="0" applyFont="1" applyFill="1" applyBorder="1" applyAlignment="1">
      <alignment horizontal="center" vertical="center" textRotation="90" wrapText="1"/>
    </xf>
    <xf numFmtId="0" fontId="52" fillId="6" borderId="44" xfId="0" applyFont="1" applyFill="1" applyBorder="1" applyAlignment="1">
      <alignment horizontal="center" vertical="center" textRotation="90"/>
    </xf>
    <xf numFmtId="0" fontId="52" fillId="6" borderId="135" xfId="0" applyFont="1" applyFill="1" applyBorder="1" applyAlignment="1">
      <alignment horizontal="center" vertical="center" textRotation="90"/>
    </xf>
    <xf numFmtId="0" fontId="52" fillId="6" borderId="135" xfId="0" applyFont="1" applyFill="1" applyBorder="1" applyAlignment="1">
      <alignment horizontal="center" textRotation="90"/>
    </xf>
    <xf numFmtId="0" fontId="15" fillId="7" borderId="23" xfId="2" applyFont="1" applyFill="1" applyBorder="1" applyAlignment="1">
      <alignment vertical="center" wrapText="1"/>
    </xf>
    <xf numFmtId="0" fontId="15" fillId="7" borderId="72" xfId="2" applyFont="1" applyFill="1" applyBorder="1" applyAlignment="1">
      <alignment vertical="center" wrapText="1"/>
    </xf>
    <xf numFmtId="0" fontId="32" fillId="19" borderId="29" xfId="2" applyFont="1" applyFill="1" applyBorder="1" applyAlignment="1">
      <alignment horizontal="center" vertical="center" textRotation="90" wrapText="1"/>
    </xf>
    <xf numFmtId="0" fontId="32" fillId="19" borderId="73" xfId="2" applyFont="1" applyFill="1" applyBorder="1" applyAlignment="1">
      <alignment horizontal="center" vertical="center" textRotation="90" wrapText="1"/>
    </xf>
    <xf numFmtId="0" fontId="32" fillId="19" borderId="30" xfId="2" applyFont="1" applyFill="1" applyBorder="1" applyAlignment="1">
      <alignment vertical="center" textRotation="90" wrapText="1"/>
    </xf>
    <xf numFmtId="0" fontId="32" fillId="19" borderId="78" xfId="2" applyFont="1" applyFill="1" applyBorder="1" applyAlignment="1">
      <alignment vertical="center" textRotation="90" wrapText="1"/>
    </xf>
    <xf numFmtId="0" fontId="32" fillId="19" borderId="125" xfId="2" applyFont="1" applyFill="1" applyBorder="1" applyAlignment="1">
      <alignment vertical="center" textRotation="90" wrapText="1"/>
    </xf>
    <xf numFmtId="0" fontId="32" fillId="19" borderId="76" xfId="2" applyFont="1" applyFill="1" applyBorder="1" applyAlignment="1">
      <alignment horizontal="center" vertical="center" textRotation="90" wrapText="1"/>
    </xf>
    <xf numFmtId="0" fontId="32" fillId="19" borderId="0" xfId="2" applyFont="1" applyFill="1" applyAlignment="1">
      <alignment horizontal="center" vertical="center" textRotation="90" wrapText="1"/>
    </xf>
    <xf numFmtId="0" fontId="17" fillId="0" borderId="9" xfId="0" applyFont="1" applyBorder="1" applyAlignment="1">
      <alignment horizontal="center" vertical="center" wrapText="1"/>
    </xf>
    <xf numFmtId="0" fontId="17" fillId="0" borderId="0" xfId="0" applyFont="1" applyAlignment="1">
      <alignment horizontal="center" vertical="center" wrapText="1"/>
    </xf>
    <xf numFmtId="0" fontId="17" fillId="0" borderId="50" xfId="0" applyFont="1" applyBorder="1" applyAlignment="1">
      <alignment horizontal="left" vertical="center" wrapText="1"/>
    </xf>
    <xf numFmtId="0" fontId="17" fillId="0" borderId="11" xfId="0" applyFont="1" applyBorder="1" applyAlignment="1">
      <alignment horizontal="left" vertical="center" wrapText="1"/>
    </xf>
    <xf numFmtId="0" fontId="17" fillId="0" borderId="0" xfId="0" applyFont="1" applyAlignment="1">
      <alignment horizontal="center" vertical="center"/>
    </xf>
    <xf numFmtId="0" fontId="17" fillId="0" borderId="10" xfId="0" applyFont="1" applyBorder="1" applyAlignment="1">
      <alignment horizontal="center" vertical="center"/>
    </xf>
    <xf numFmtId="0" fontId="17" fillId="0" borderId="3" xfId="0" applyFont="1" applyBorder="1" applyAlignment="1">
      <alignment horizontal="center" vertical="center"/>
    </xf>
    <xf numFmtId="0" fontId="17" fillId="0" borderId="6" xfId="0" applyFont="1" applyBorder="1" applyAlignment="1">
      <alignment horizontal="left" vertical="center" wrapText="1"/>
    </xf>
    <xf numFmtId="0" fontId="17" fillId="0" borderId="9" xfId="0" applyFont="1" applyBorder="1" applyAlignment="1">
      <alignment horizontal="left" vertical="center" wrapText="1"/>
    </xf>
    <xf numFmtId="0" fontId="17"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3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38" xfId="0" applyFont="1" applyBorder="1" applyAlignment="1">
      <alignment horizontal="left" vertical="center" wrapText="1"/>
    </xf>
    <xf numFmtId="0" fontId="17" fillId="0" borderId="139" xfId="0" applyFont="1" applyBorder="1" applyAlignment="1">
      <alignment horizontal="left" vertical="center" wrapText="1"/>
    </xf>
    <xf numFmtId="0" fontId="17" fillId="0" borderId="140" xfId="0" applyFont="1" applyBorder="1" applyAlignment="1">
      <alignment horizontal="left" vertical="center" wrapText="1"/>
    </xf>
    <xf numFmtId="0" fontId="17" fillId="0" borderId="131" xfId="0" applyFont="1" applyBorder="1" applyAlignment="1">
      <alignment horizontal="left" vertical="center" wrapText="1"/>
    </xf>
    <xf numFmtId="0" fontId="17" fillId="0" borderId="141" xfId="0" applyFont="1" applyBorder="1" applyAlignment="1">
      <alignment horizontal="left" vertical="center" wrapText="1"/>
    </xf>
    <xf numFmtId="0" fontId="17" fillId="0" borderId="133" xfId="0" applyFont="1" applyBorder="1" applyAlignment="1">
      <alignment horizontal="left" vertical="center" wrapText="1"/>
    </xf>
    <xf numFmtId="0" fontId="17" fillId="0" borderId="100" xfId="0" applyFont="1" applyBorder="1" applyAlignment="1">
      <alignment horizontal="left" vertical="center" wrapText="1"/>
    </xf>
    <xf numFmtId="0" fontId="17" fillId="0" borderId="6" xfId="0" applyFont="1" applyBorder="1" applyAlignment="1">
      <alignment horizontal="center" vertical="center"/>
    </xf>
    <xf numFmtId="0" fontId="17" fillId="0" borderId="4" xfId="0" applyFont="1" applyBorder="1" applyAlignment="1">
      <alignment horizontal="center" vertical="center"/>
    </xf>
    <xf numFmtId="0" fontId="17" fillId="0" borderId="101" xfId="0" applyFont="1" applyBorder="1" applyAlignment="1">
      <alignment horizontal="center" vertical="center"/>
    </xf>
    <xf numFmtId="0" fontId="17" fillId="0" borderId="9" xfId="0" applyFont="1" applyBorder="1" applyAlignment="1">
      <alignment horizontal="center" vertical="center"/>
    </xf>
    <xf numFmtId="0" fontId="17" fillId="0" borderId="100" xfId="0" applyFont="1" applyBorder="1" applyAlignment="1">
      <alignment horizontal="center" vertical="center"/>
    </xf>
    <xf numFmtId="0" fontId="17" fillId="0" borderId="96" xfId="0" applyFont="1" applyBorder="1" applyAlignment="1">
      <alignment horizontal="center" vertical="center"/>
    </xf>
    <xf numFmtId="0" fontId="17" fillId="0" borderId="138" xfId="0" applyFont="1" applyBorder="1" applyAlignment="1">
      <alignment horizontal="center" vertical="center" wrapText="1"/>
    </xf>
    <xf numFmtId="0" fontId="17" fillId="0" borderId="139" xfId="0" applyFont="1" applyBorder="1" applyAlignment="1">
      <alignment horizontal="center" vertical="center" wrapText="1"/>
    </xf>
    <xf numFmtId="0" fontId="17" fillId="0" borderId="145" xfId="0" applyFont="1" applyBorder="1" applyAlignment="1">
      <alignment horizontal="center" vertical="center" wrapText="1"/>
    </xf>
    <xf numFmtId="164" fontId="71" fillId="8" borderId="46" xfId="3" applyFont="1" applyFill="1" applyBorder="1" applyAlignment="1">
      <alignment horizontal="center" vertical="center" wrapText="1"/>
    </xf>
    <xf numFmtId="164" fontId="71" fillId="8" borderId="0" xfId="3" applyFont="1" applyFill="1" applyBorder="1" applyAlignment="1">
      <alignment horizontal="center" vertical="center" wrapText="1"/>
    </xf>
    <xf numFmtId="0" fontId="17" fillId="0" borderId="7" xfId="0" applyFont="1" applyBorder="1" applyAlignment="1">
      <alignment horizontal="left" vertical="center" wrapText="1"/>
    </xf>
    <xf numFmtId="0" fontId="17" fillId="0" borderId="4" xfId="0" applyFont="1" applyBorder="1" applyAlignment="1">
      <alignment horizontal="left" vertical="center" wrapText="1"/>
    </xf>
    <xf numFmtId="0" fontId="17" fillId="0" borderId="101" xfId="0" applyFont="1" applyBorder="1" applyAlignment="1">
      <alignment horizontal="left" vertical="center" wrapText="1"/>
    </xf>
    <xf numFmtId="0" fontId="17" fillId="0" borderId="0" xfId="0" applyFont="1" applyAlignment="1">
      <alignment horizontal="left" vertical="center" wrapText="1"/>
    </xf>
    <xf numFmtId="0" fontId="17" fillId="0" borderId="3" xfId="0" applyFont="1" applyBorder="1" applyAlignment="1">
      <alignment horizontal="left" vertical="center" wrapText="1"/>
    </xf>
    <xf numFmtId="0" fontId="17" fillId="0" borderId="10" xfId="0" applyFont="1" applyBorder="1" applyAlignment="1">
      <alignment horizontal="left" vertical="center" wrapText="1"/>
    </xf>
    <xf numFmtId="0" fontId="17" fillId="0" borderId="96" xfId="0" applyFont="1" applyBorder="1" applyAlignment="1">
      <alignment horizontal="left" vertical="center" wrapText="1"/>
    </xf>
    <xf numFmtId="0" fontId="17" fillId="0" borderId="143" xfId="0" applyFont="1" applyBorder="1" applyAlignment="1">
      <alignment horizontal="center" vertical="center"/>
    </xf>
    <xf numFmtId="0" fontId="17" fillId="0" borderId="141" xfId="0" applyFont="1" applyBorder="1" applyAlignment="1">
      <alignment horizontal="center" vertical="center"/>
    </xf>
    <xf numFmtId="0" fontId="17" fillId="0" borderId="144" xfId="0" applyFont="1" applyBorder="1" applyAlignment="1">
      <alignment horizontal="center" vertical="center"/>
    </xf>
    <xf numFmtId="164" fontId="71" fillId="8" borderId="8" xfId="3" applyFont="1" applyFill="1" applyBorder="1" applyAlignment="1">
      <alignment horizontal="center" vertical="center" wrapText="1"/>
    </xf>
    <xf numFmtId="164" fontId="71" fillId="8" borderId="99" xfId="3" applyFont="1" applyFill="1" applyBorder="1" applyAlignment="1">
      <alignment horizontal="center" vertical="center" wrapText="1"/>
    </xf>
    <xf numFmtId="164" fontId="71" fillId="8" borderId="98" xfId="3" applyFont="1" applyFill="1" applyBorder="1" applyAlignment="1">
      <alignment horizontal="center" vertical="center" wrapText="1"/>
    </xf>
    <xf numFmtId="0" fontId="17" fillId="0" borderId="8" xfId="0" applyFont="1" applyBorder="1" applyAlignment="1">
      <alignment horizontal="left" vertical="center" wrapText="1"/>
    </xf>
    <xf numFmtId="0" fontId="17" fillId="0" borderId="99" xfId="0" applyFont="1" applyBorder="1" applyAlignment="1">
      <alignment horizontal="left" vertical="center" wrapText="1"/>
    </xf>
    <xf numFmtId="0" fontId="17" fillId="0" borderId="98" xfId="0" applyFont="1" applyBorder="1" applyAlignment="1">
      <alignment horizontal="left" vertical="center" wrapText="1"/>
    </xf>
    <xf numFmtId="164" fontId="18" fillId="0" borderId="0" xfId="3" applyFont="1" applyFill="1" applyBorder="1" applyAlignment="1">
      <alignment horizontal="center" vertical="center" wrapText="1"/>
    </xf>
    <xf numFmtId="164" fontId="18" fillId="0" borderId="10" xfId="3" applyFont="1" applyFill="1" applyBorder="1" applyAlignment="1">
      <alignment horizontal="center" vertical="center" wrapText="1"/>
    </xf>
    <xf numFmtId="0" fontId="17" fillId="0" borderId="7" xfId="0" applyFont="1" applyBorder="1" applyAlignment="1">
      <alignment horizontal="left" vertical="center"/>
    </xf>
    <xf numFmtId="0" fontId="17" fillId="0" borderId="11" xfId="0" applyFont="1" applyBorder="1" applyAlignment="1">
      <alignment horizontal="left" vertical="center"/>
    </xf>
    <xf numFmtId="0" fontId="17" fillId="0" borderId="146" xfId="0" applyFont="1" applyBorder="1" applyAlignment="1">
      <alignment horizontal="left" vertical="center" wrapText="1"/>
    </xf>
    <xf numFmtId="0" fontId="17" fillId="0" borderId="147" xfId="0" applyFont="1" applyBorder="1" applyAlignment="1">
      <alignment horizontal="left" vertical="center" wrapText="1"/>
    </xf>
    <xf numFmtId="0" fontId="17" fillId="0" borderId="129" xfId="0" applyFont="1" applyBorder="1" applyAlignment="1">
      <alignment horizontal="left" vertical="center" wrapText="1"/>
    </xf>
    <xf numFmtId="0" fontId="17" fillId="0" borderId="9" xfId="0" applyFont="1" applyBorder="1" applyAlignment="1">
      <alignment horizontal="left" vertical="center"/>
    </xf>
    <xf numFmtId="0" fontId="17" fillId="0" borderId="100" xfId="0" applyFont="1" applyBorder="1" applyAlignment="1">
      <alignment horizontal="left" vertical="center"/>
    </xf>
    <xf numFmtId="0" fontId="17" fillId="0" borderId="138" xfId="0" applyFont="1" applyBorder="1" applyAlignment="1">
      <alignment horizontal="center"/>
    </xf>
    <xf numFmtId="0" fontId="17" fillId="0" borderId="139" xfId="0" applyFont="1" applyBorder="1" applyAlignment="1">
      <alignment horizontal="center"/>
    </xf>
    <xf numFmtId="0" fontId="17" fillId="0" borderId="140" xfId="0" applyFont="1" applyBorder="1" applyAlignment="1">
      <alignment horizontal="center"/>
    </xf>
    <xf numFmtId="0" fontId="17" fillId="0" borderId="132" xfId="0" applyFont="1" applyBorder="1" applyAlignment="1">
      <alignment horizontal="center" vertical="center"/>
    </xf>
    <xf numFmtId="0" fontId="17" fillId="0" borderId="91" xfId="0" applyFont="1" applyBorder="1" applyAlignment="1">
      <alignment horizontal="center" vertical="center"/>
    </xf>
    <xf numFmtId="0" fontId="17" fillId="0" borderId="131" xfId="0" applyFont="1" applyBorder="1" applyAlignment="1">
      <alignment horizontal="center" vertical="center"/>
    </xf>
    <xf numFmtId="0" fontId="17" fillId="0" borderId="133" xfId="0" applyFont="1" applyBorder="1" applyAlignment="1">
      <alignment horizontal="center" vertical="center"/>
    </xf>
    <xf numFmtId="0" fontId="6" fillId="8" borderId="1" xfId="0" applyFont="1" applyFill="1" applyBorder="1" applyAlignment="1">
      <alignment horizontal="center" vertical="center" wrapText="1"/>
    </xf>
    <xf numFmtId="0" fontId="6" fillId="8" borderId="0" xfId="0" applyFont="1" applyFill="1" applyAlignment="1">
      <alignment horizontal="center" vertical="center" wrapText="1"/>
    </xf>
    <xf numFmtId="0" fontId="6" fillId="8" borderId="47" xfId="0" applyFont="1" applyFill="1" applyBorder="1" applyAlignment="1">
      <alignment horizontal="center" vertical="center" wrapText="1"/>
    </xf>
    <xf numFmtId="0" fontId="6" fillId="8" borderId="48"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8" borderId="4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18" fillId="0" borderId="0" xfId="0" applyFont="1" applyAlignment="1">
      <alignment horizontal="left" vertical="center" wrapText="1"/>
    </xf>
    <xf numFmtId="2" fontId="1" fillId="0" borderId="101" xfId="0" applyNumberFormat="1" applyFont="1" applyBorder="1" applyAlignment="1">
      <alignment horizontal="center" vertical="center" wrapText="1"/>
    </xf>
    <xf numFmtId="2" fontId="1" fillId="0" borderId="96" xfId="0" applyNumberFormat="1" applyFont="1" applyBorder="1" applyAlignment="1">
      <alignment horizontal="center" vertical="center" wrapText="1"/>
    </xf>
    <xf numFmtId="2" fontId="1" fillId="0" borderId="91" xfId="0" applyNumberFormat="1" applyFont="1" applyBorder="1" applyAlignment="1">
      <alignment horizontal="center" vertical="center" wrapText="1"/>
    </xf>
    <xf numFmtId="2" fontId="1" fillId="0" borderId="93" xfId="0" applyNumberFormat="1" applyFont="1" applyBorder="1" applyAlignment="1">
      <alignment horizontal="center" vertical="center" wrapText="1"/>
    </xf>
    <xf numFmtId="2" fontId="5" fillId="0" borderId="115" xfId="0" applyNumberFormat="1" applyFont="1" applyBorder="1" applyAlignment="1">
      <alignment horizontal="center" vertical="center" wrapText="1"/>
    </xf>
    <xf numFmtId="2" fontId="5" fillId="0" borderId="114" xfId="0" applyNumberFormat="1" applyFont="1" applyBorder="1" applyAlignment="1">
      <alignment horizontal="center" vertical="center" wrapText="1"/>
    </xf>
    <xf numFmtId="0" fontId="10" fillId="0" borderId="0" xfId="0" applyFont="1" applyAlignment="1">
      <alignment horizontal="left" vertical="center"/>
    </xf>
    <xf numFmtId="0" fontId="1" fillId="0" borderId="5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2" fontId="1" fillId="0" borderId="50" xfId="0" applyNumberFormat="1" applyFont="1" applyBorder="1" applyAlignment="1">
      <alignment horizontal="center" vertical="center" wrapText="1"/>
    </xf>
    <xf numFmtId="2" fontId="1" fillId="0" borderId="11" xfId="0" applyNumberFormat="1" applyFont="1" applyBorder="1" applyAlignment="1">
      <alignment horizontal="center" vertical="center" wrapText="1"/>
    </xf>
    <xf numFmtId="2" fontId="1" fillId="0" borderId="112" xfId="0" applyNumberFormat="1" applyFont="1" applyBorder="1" applyAlignment="1">
      <alignment horizontal="center" vertical="center" wrapText="1"/>
    </xf>
    <xf numFmtId="2" fontId="1" fillId="0" borderId="3" xfId="0" applyNumberFormat="1" applyFont="1" applyBorder="1" applyAlignment="1">
      <alignment horizontal="center" vertical="center" wrapText="1"/>
    </xf>
    <xf numFmtId="2" fontId="5" fillId="0" borderId="50" xfId="0" applyNumberFormat="1" applyFont="1" applyBorder="1" applyAlignment="1">
      <alignment horizontal="center" vertical="center" wrapText="1"/>
    </xf>
    <xf numFmtId="2" fontId="5" fillId="0" borderId="11" xfId="0" applyNumberFormat="1" applyFont="1" applyBorder="1" applyAlignment="1">
      <alignment horizontal="center" vertical="center" wrapText="1"/>
    </xf>
    <xf numFmtId="2" fontId="1" fillId="10" borderId="50" xfId="0" applyNumberFormat="1" applyFont="1" applyFill="1" applyBorder="1" applyAlignment="1">
      <alignment horizontal="center" vertical="center" wrapText="1"/>
    </xf>
    <xf numFmtId="2" fontId="1" fillId="10" borderId="11" xfId="0" applyNumberFormat="1" applyFont="1" applyFill="1" applyBorder="1" applyAlignment="1">
      <alignment horizontal="center" vertical="center" wrapText="1"/>
    </xf>
    <xf numFmtId="2" fontId="5" fillId="10" borderId="0" xfId="0" applyNumberFormat="1" applyFont="1" applyFill="1" applyAlignment="1">
      <alignment horizontal="center" vertical="center" wrapText="1"/>
    </xf>
    <xf numFmtId="2" fontId="5" fillId="10" borderId="10" xfId="0" applyNumberFormat="1" applyFont="1" applyFill="1" applyBorder="1" applyAlignment="1">
      <alignment horizontal="center" vertical="center" wrapText="1"/>
    </xf>
    <xf numFmtId="2" fontId="5" fillId="0" borderId="7" xfId="0" applyNumberFormat="1" applyFont="1" applyBorder="1" applyAlignment="1">
      <alignment horizontal="center" vertical="center" wrapText="1"/>
    </xf>
    <xf numFmtId="0" fontId="1" fillId="0" borderId="106" xfId="0" applyFont="1" applyBorder="1" applyAlignment="1">
      <alignment horizontal="center" vertical="center" wrapText="1"/>
    </xf>
    <xf numFmtId="2" fontId="1" fillId="0" borderId="116" xfId="0" applyNumberFormat="1" applyFont="1" applyBorder="1" applyAlignment="1">
      <alignment horizontal="center" vertical="center" wrapText="1"/>
    </xf>
    <xf numFmtId="2" fontId="1" fillId="0" borderId="7" xfId="0" applyNumberFormat="1" applyFont="1" applyBorder="1" applyAlignment="1">
      <alignment horizontal="center" vertical="center" wrapText="1"/>
    </xf>
    <xf numFmtId="2" fontId="5" fillId="0" borderId="113" xfId="0" applyNumberFormat="1" applyFont="1" applyBorder="1" applyAlignment="1">
      <alignment horizontal="center" vertical="center" wrapText="1"/>
    </xf>
    <xf numFmtId="2" fontId="5" fillId="0" borderId="97" xfId="0" applyNumberFormat="1" applyFont="1" applyBorder="1" applyAlignment="1">
      <alignment horizontal="center" vertical="center" wrapText="1"/>
    </xf>
    <xf numFmtId="2" fontId="5" fillId="0" borderId="95" xfId="0" applyNumberFormat="1" applyFont="1" applyBorder="1" applyAlignment="1">
      <alignment horizontal="center" vertical="center" wrapText="1"/>
    </xf>
    <xf numFmtId="2" fontId="5" fillId="0" borderId="86" xfId="0" applyNumberFormat="1" applyFont="1" applyBorder="1" applyAlignment="1">
      <alignment horizontal="center" vertical="center" wrapText="1"/>
    </xf>
    <xf numFmtId="2" fontId="5" fillId="0" borderId="84" xfId="0" applyNumberFormat="1" applyFont="1" applyBorder="1" applyAlignment="1">
      <alignment horizontal="center" vertical="center" wrapText="1"/>
    </xf>
    <xf numFmtId="4" fontId="5" fillId="0" borderId="86" xfId="0" applyNumberFormat="1" applyFont="1" applyBorder="1" applyAlignment="1">
      <alignment horizontal="center" vertical="center" wrapText="1"/>
    </xf>
    <xf numFmtId="4" fontId="5" fillId="0" borderId="11" xfId="0" applyNumberFormat="1" applyFont="1" applyBorder="1" applyAlignment="1">
      <alignment horizontal="center" vertical="center" wrapText="1"/>
    </xf>
    <xf numFmtId="4" fontId="5" fillId="0" borderId="111" xfId="0" applyNumberFormat="1" applyFont="1" applyBorder="1" applyAlignment="1">
      <alignment horizontal="center" vertical="center" wrapText="1"/>
    </xf>
    <xf numFmtId="4" fontId="5" fillId="0" borderId="92" xfId="0" applyNumberFormat="1" applyFont="1" applyBorder="1" applyAlignment="1">
      <alignment horizontal="center" vertical="center" wrapText="1"/>
    </xf>
    <xf numFmtId="4" fontId="5" fillId="0" borderId="100" xfId="0" applyNumberFormat="1" applyFont="1" applyBorder="1" applyAlignment="1">
      <alignment horizontal="center" vertical="center" wrapText="1"/>
    </xf>
    <xf numFmtId="4" fontId="5" fillId="0" borderId="93" xfId="0" applyNumberFormat="1" applyFont="1" applyBorder="1" applyAlignment="1">
      <alignment horizontal="center" vertical="center" wrapText="1"/>
    </xf>
    <xf numFmtId="4" fontId="5" fillId="0" borderId="84" xfId="0" applyNumberFormat="1" applyFont="1" applyBorder="1" applyAlignment="1">
      <alignment horizontal="center" vertical="center" wrapText="1"/>
    </xf>
    <xf numFmtId="4" fontId="5" fillId="0" borderId="90" xfId="0" applyNumberFormat="1" applyFont="1" applyBorder="1" applyAlignment="1">
      <alignment horizontal="center" vertical="center" wrapText="1"/>
    </xf>
    <xf numFmtId="4" fontId="5" fillId="0" borderId="10" xfId="0" applyNumberFormat="1" applyFont="1" applyBorder="1" applyAlignment="1">
      <alignment horizontal="center" vertical="center" wrapText="1"/>
    </xf>
    <xf numFmtId="0" fontId="1" fillId="0" borderId="10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96" xfId="0" applyFont="1" applyBorder="1" applyAlignment="1">
      <alignment horizontal="center" vertical="center" wrapText="1"/>
    </xf>
    <xf numFmtId="4" fontId="5" fillId="0" borderId="50"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2" fontId="5" fillId="0" borderId="109" xfId="0" applyNumberFormat="1" applyFont="1" applyBorder="1" applyAlignment="1">
      <alignment horizontal="center" vertical="center" wrapText="1"/>
    </xf>
    <xf numFmtId="4" fontId="5" fillId="10" borderId="88" xfId="0" applyNumberFormat="1" applyFont="1" applyFill="1" applyBorder="1" applyAlignment="1">
      <alignment horizontal="center" vertical="center" wrapText="1"/>
    </xf>
    <xf numFmtId="4" fontId="5" fillId="10" borderId="89" xfId="0" applyNumberFormat="1" applyFont="1" applyFill="1" applyBorder="1" applyAlignment="1">
      <alignment horizontal="center" vertical="center" wrapText="1"/>
    </xf>
    <xf numFmtId="4" fontId="5" fillId="10" borderId="100" xfId="0" applyNumberFormat="1" applyFont="1" applyFill="1" applyBorder="1" applyAlignment="1">
      <alignment horizontal="center" vertical="center" wrapText="1"/>
    </xf>
    <xf numFmtId="4" fontId="5" fillId="10" borderId="10" xfId="0" applyNumberFormat="1" applyFont="1" applyFill="1" applyBorder="1" applyAlignment="1">
      <alignment horizontal="center" vertical="center" wrapText="1"/>
    </xf>
    <xf numFmtId="4" fontId="5" fillId="0" borderId="9" xfId="0" applyNumberFormat="1" applyFont="1" applyBorder="1" applyAlignment="1">
      <alignment horizontal="center" vertical="center" wrapText="1"/>
    </xf>
    <xf numFmtId="2" fontId="5" fillId="0" borderId="106" xfId="0" applyNumberFormat="1" applyFont="1" applyBorder="1" applyAlignment="1">
      <alignment horizontal="center" vertical="center" wrapText="1"/>
    </xf>
    <xf numFmtId="4" fontId="5" fillId="10" borderId="81" xfId="0" applyNumberFormat="1" applyFont="1" applyFill="1" applyBorder="1" applyAlignment="1">
      <alignment horizontal="center" vertical="center" wrapText="1"/>
    </xf>
    <xf numFmtId="4" fontId="5" fillId="10" borderId="108" xfId="0" applyNumberFormat="1" applyFont="1" applyFill="1" applyBorder="1" applyAlignment="1">
      <alignment horizontal="center" vertical="center" wrapText="1"/>
    </xf>
    <xf numFmtId="4" fontId="5" fillId="10" borderId="109" xfId="0" applyNumberFormat="1" applyFont="1" applyFill="1" applyBorder="1" applyAlignment="1">
      <alignment horizontal="center" vertical="center" wrapText="1"/>
    </xf>
    <xf numFmtId="0" fontId="4" fillId="8" borderId="33" xfId="0" applyFont="1" applyFill="1" applyBorder="1" applyAlignment="1">
      <alignment horizontal="center" vertical="center" wrapText="1"/>
    </xf>
    <xf numFmtId="0" fontId="4" fillId="8" borderId="36" xfId="0" applyFont="1" applyFill="1" applyBorder="1" applyAlignment="1">
      <alignment horizontal="center" vertical="center" wrapText="1"/>
    </xf>
    <xf numFmtId="0" fontId="1" fillId="0" borderId="88" xfId="0" applyFont="1" applyBorder="1" applyAlignment="1">
      <alignment horizontal="center" vertical="center" wrapText="1"/>
    </xf>
    <xf numFmtId="0" fontId="1" fillId="0" borderId="9" xfId="0" applyFont="1" applyBorder="1" applyAlignment="1">
      <alignment horizontal="center" vertical="center" wrapText="1"/>
    </xf>
    <xf numFmtId="2" fontId="5" fillId="10" borderId="106" xfId="0" applyNumberFormat="1" applyFont="1" applyFill="1" applyBorder="1" applyAlignment="1">
      <alignment horizontal="center" vertical="center" wrapText="1"/>
    </xf>
    <xf numFmtId="2" fontId="5" fillId="10" borderId="7" xfId="0" applyNumberFormat="1" applyFont="1" applyFill="1" applyBorder="1" applyAlignment="1">
      <alignment horizontal="center" vertical="center" wrapText="1"/>
    </xf>
    <xf numFmtId="2" fontId="5" fillId="10" borderId="11" xfId="0" applyNumberFormat="1" applyFont="1" applyFill="1" applyBorder="1" applyAlignment="1">
      <alignment horizontal="center" vertical="center" wrapText="1"/>
    </xf>
    <xf numFmtId="2" fontId="5" fillId="10" borderId="50" xfId="0" applyNumberFormat="1" applyFont="1" applyFill="1" applyBorder="1" applyAlignment="1">
      <alignment horizontal="center" vertical="center" wrapText="1"/>
    </xf>
    <xf numFmtId="2" fontId="1" fillId="10" borderId="106" xfId="0" applyNumberFormat="1" applyFont="1" applyFill="1" applyBorder="1" applyAlignment="1">
      <alignment horizontal="center" vertical="center" wrapText="1"/>
    </xf>
    <xf numFmtId="2" fontId="1" fillId="10" borderId="116" xfId="0" applyNumberFormat="1" applyFont="1" applyFill="1" applyBorder="1" applyAlignment="1">
      <alignment horizontal="center" vertical="center" wrapText="1"/>
    </xf>
    <xf numFmtId="2" fontId="1" fillId="10" borderId="96" xfId="0" applyNumberFormat="1" applyFont="1" applyFill="1" applyBorder="1" applyAlignment="1">
      <alignment horizontal="center" vertical="center" wrapText="1"/>
    </xf>
    <xf numFmtId="2" fontId="5" fillId="10" borderId="110" xfId="0" applyNumberFormat="1" applyFont="1" applyFill="1" applyBorder="1" applyAlignment="1">
      <alignment horizontal="center" vertical="center" wrapText="1"/>
    </xf>
    <xf numFmtId="2" fontId="1" fillId="10" borderId="7" xfId="0" applyNumberFormat="1" applyFont="1" applyFill="1" applyBorder="1" applyAlignment="1">
      <alignment horizontal="center" vertical="center" wrapText="1"/>
    </xf>
    <xf numFmtId="2" fontId="1" fillId="10" borderId="101" xfId="0" applyNumberFormat="1" applyFont="1" applyFill="1" applyBorder="1" applyAlignment="1">
      <alignment horizontal="center" vertical="center" wrapText="1"/>
    </xf>
    <xf numFmtId="2" fontId="1" fillId="10" borderId="3" xfId="0" applyNumberFormat="1" applyFont="1" applyFill="1" applyBorder="1" applyAlignment="1">
      <alignment horizontal="center" vertical="center" wrapText="1"/>
    </xf>
    <xf numFmtId="2" fontId="5" fillId="10" borderId="6" xfId="0" applyNumberFormat="1" applyFont="1" applyFill="1" applyBorder="1" applyAlignment="1">
      <alignment horizontal="center" vertical="center" wrapText="1"/>
    </xf>
    <xf numFmtId="2" fontId="5" fillId="10" borderId="100" xfId="0" applyNumberFormat="1" applyFont="1" applyFill="1" applyBorder="1" applyAlignment="1">
      <alignment horizontal="center" vertical="center" wrapText="1"/>
    </xf>
    <xf numFmtId="4" fontId="5" fillId="0" borderId="6" xfId="0" applyNumberFormat="1" applyFont="1" applyBorder="1" applyAlignment="1">
      <alignment horizontal="center" vertical="center" wrapText="1"/>
    </xf>
    <xf numFmtId="4" fontId="5" fillId="0" borderId="101" xfId="0" applyNumberFormat="1" applyFont="1" applyBorder="1" applyAlignment="1">
      <alignment horizontal="center" vertical="center" wrapText="1"/>
    </xf>
    <xf numFmtId="4" fontId="5" fillId="0" borderId="96" xfId="0" applyNumberFormat="1" applyFont="1" applyBorder="1" applyAlignment="1">
      <alignment horizontal="center" vertical="center" wrapText="1"/>
    </xf>
    <xf numFmtId="2" fontId="5" fillId="0" borderId="101" xfId="0" applyNumberFormat="1" applyFont="1" applyBorder="1" applyAlignment="1">
      <alignment horizontal="center" vertical="center" wrapText="1"/>
    </xf>
    <xf numFmtId="2" fontId="5" fillId="0" borderId="96" xfId="0" applyNumberFormat="1" applyFont="1" applyBorder="1" applyAlignment="1">
      <alignment horizontal="center" vertical="center" wrapText="1"/>
    </xf>
    <xf numFmtId="4" fontId="5" fillId="10" borderId="116" xfId="0" applyNumberFormat="1" applyFont="1" applyFill="1" applyBorder="1" applyAlignment="1">
      <alignment horizontal="center" vertical="center" wrapText="1"/>
    </xf>
    <xf numFmtId="4" fontId="5" fillId="10" borderId="96" xfId="0" applyNumberFormat="1" applyFont="1" applyFill="1" applyBorder="1" applyAlignment="1">
      <alignment horizontal="center" vertical="center" wrapText="1"/>
    </xf>
  </cellXfs>
  <cellStyles count="8">
    <cellStyle name="Lien hypertexte" xfId="5" builtinId="8"/>
    <cellStyle name="Milliers" xfId="3" builtinId="3"/>
    <cellStyle name="Normal" xfId="0" builtinId="0"/>
    <cellStyle name="Normal 11 10" xfId="2" xr:uid="{00000000-0005-0000-0000-000003000000}"/>
    <cellStyle name="Normal 12" xfId="6" xr:uid="{00000000-0005-0000-0000-000004000000}"/>
    <cellStyle name="Normal 2" xfId="7" xr:uid="{2E266746-938A-4FB8-BB7D-9D5F40091F85}"/>
    <cellStyle name="Pourcentage" xfId="1" builtinId="5"/>
    <cellStyle name="Pourcentage 3" xfId="4" xr:uid="{00000000-0005-0000-0000-000006000000}"/>
  </cellStyles>
  <dxfs count="3">
    <dxf>
      <fill>
        <patternFill patternType="lightUp">
          <fgColor theme="0" tint="-0.34998626667073579"/>
        </patternFill>
      </fill>
    </dxf>
    <dxf>
      <fill>
        <patternFill patternType="lightUp">
          <fgColor theme="0" tint="-0.34998626667073579"/>
        </patternFill>
      </fill>
    </dxf>
    <dxf>
      <fill>
        <patternFill patternType="lightUp">
          <fgColor theme="0" tint="-0.34998626667073579"/>
        </patternFill>
      </fill>
    </dxf>
  </dxfs>
  <tableStyles count="0" defaultTableStyle="TableStyleMedium2" defaultPivotStyle="PivotStyleMedium9"/>
  <colors>
    <mruColors>
      <color rgb="FF009AAA"/>
      <color rgb="FF008499"/>
      <color rgb="FF4291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2" dT="2023-04-19T13:43:44.00" personId="{00000000-0000-0000-0000-000000000000}" id="{71D5094B-ADAE-4231-BA46-2B8FE73BB929}">
    <text>Pour 2022, 100% au CRCP</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insee.fr/fr/statistiques/serie/001763852"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B1:F28"/>
  <sheetViews>
    <sheetView zoomScale="85" zoomScaleNormal="85" workbookViewId="0">
      <selection activeCell="D2" sqref="D2:E2"/>
    </sheetView>
  </sheetViews>
  <sheetFormatPr baseColWidth="10" defaultColWidth="11.28515625" defaultRowHeight="15" x14ac:dyDescent="0.25"/>
  <cols>
    <col min="2" max="2" width="2.140625" bestFit="1" customWidth="1"/>
    <col min="3" max="3" width="27.28515625" bestFit="1" customWidth="1"/>
    <col min="4" max="4" width="122.28515625" customWidth="1"/>
    <col min="5" max="5" width="34" customWidth="1"/>
  </cols>
  <sheetData>
    <row r="1" spans="2:5" x14ac:dyDescent="0.25">
      <c r="C1" s="607" t="s">
        <v>0</v>
      </c>
      <c r="D1" s="607"/>
    </row>
    <row r="2" spans="2:5" ht="101.25" customHeight="1" x14ac:dyDescent="0.25">
      <c r="C2" s="3" t="s">
        <v>1</v>
      </c>
      <c r="D2" s="609" t="s">
        <v>361</v>
      </c>
      <c r="E2" s="609"/>
    </row>
    <row r="3" spans="2:5" ht="15.75" thickBot="1" x14ac:dyDescent="0.3"/>
    <row r="4" spans="2:5" ht="17.25" thickBot="1" x14ac:dyDescent="0.3">
      <c r="B4" s="9"/>
      <c r="C4" s="10" t="s">
        <v>2</v>
      </c>
      <c r="D4" s="11" t="s">
        <v>3</v>
      </c>
      <c r="E4" s="12"/>
    </row>
    <row r="5" spans="2:5" ht="15.75" thickBot="1" x14ac:dyDescent="0.3">
      <c r="B5" s="257"/>
      <c r="C5" s="257"/>
      <c r="D5" s="257"/>
      <c r="E5" s="257"/>
    </row>
    <row r="6" spans="2:5" ht="32.25" thickBot="1" x14ac:dyDescent="0.3">
      <c r="B6" s="257"/>
      <c r="C6" s="103" t="s">
        <v>4</v>
      </c>
      <c r="D6" s="104" t="s">
        <v>351</v>
      </c>
      <c r="E6" s="105" t="s">
        <v>5</v>
      </c>
    </row>
    <row r="7" spans="2:5" ht="32.25" thickBot="1" x14ac:dyDescent="0.3">
      <c r="B7" s="257"/>
      <c r="C7" s="13" t="s">
        <v>6</v>
      </c>
      <c r="D7" s="24" t="s">
        <v>352</v>
      </c>
      <c r="E7" s="23" t="s">
        <v>7</v>
      </c>
    </row>
    <row r="8" spans="2:5" ht="32.25" thickBot="1" x14ac:dyDescent="0.3">
      <c r="B8" s="257"/>
      <c r="C8" s="13" t="s">
        <v>8</v>
      </c>
      <c r="D8" s="24" t="s">
        <v>353</v>
      </c>
      <c r="E8" s="23" t="s">
        <v>7</v>
      </c>
    </row>
    <row r="9" spans="2:5" ht="48" thickBot="1" x14ac:dyDescent="0.3">
      <c r="B9" s="257"/>
      <c r="C9" s="22" t="s">
        <v>9</v>
      </c>
      <c r="D9" s="25" t="s">
        <v>354</v>
      </c>
      <c r="E9" s="26" t="s">
        <v>10</v>
      </c>
    </row>
    <row r="10" spans="2:5" ht="16.5" thickBot="1" x14ac:dyDescent="0.3">
      <c r="B10" s="257"/>
      <c r="C10" s="102" t="s">
        <v>11</v>
      </c>
      <c r="D10" s="27" t="s">
        <v>355</v>
      </c>
      <c r="E10" s="28" t="s">
        <v>12</v>
      </c>
    </row>
    <row r="11" spans="2:5" ht="16.5" thickBot="1" x14ac:dyDescent="0.3">
      <c r="B11" s="257"/>
      <c r="C11" s="14" t="s">
        <v>13</v>
      </c>
      <c r="D11" s="27" t="s">
        <v>14</v>
      </c>
      <c r="E11" s="28" t="s">
        <v>5</v>
      </c>
    </row>
    <row r="12" spans="2:5" ht="16.5" thickBot="1" x14ac:dyDescent="0.3">
      <c r="B12" s="257"/>
      <c r="C12" s="14" t="s">
        <v>15</v>
      </c>
      <c r="D12" s="27" t="s">
        <v>16</v>
      </c>
      <c r="E12" s="28" t="s">
        <v>5</v>
      </c>
    </row>
    <row r="13" spans="2:5" ht="16.5" thickBot="1" x14ac:dyDescent="0.3">
      <c r="B13" s="257"/>
      <c r="C13" s="14" t="s">
        <v>17</v>
      </c>
      <c r="D13" s="27" t="s">
        <v>18</v>
      </c>
      <c r="E13" s="28" t="s">
        <v>5</v>
      </c>
    </row>
    <row r="14" spans="2:5" ht="16.5" thickBot="1" x14ac:dyDescent="0.3">
      <c r="B14" s="257"/>
      <c r="C14" s="14" t="s">
        <v>19</v>
      </c>
      <c r="D14" s="27" t="s">
        <v>20</v>
      </c>
      <c r="E14" s="28" t="s">
        <v>5</v>
      </c>
    </row>
    <row r="15" spans="2:5" ht="32.25" thickBot="1" x14ac:dyDescent="0.3">
      <c r="B15" s="257"/>
      <c r="C15" s="14" t="s">
        <v>21</v>
      </c>
      <c r="D15" s="27" t="s">
        <v>22</v>
      </c>
      <c r="E15" s="28" t="s">
        <v>5</v>
      </c>
    </row>
    <row r="16" spans="2:5" ht="32.25" thickBot="1" x14ac:dyDescent="0.3">
      <c r="B16" s="257"/>
      <c r="C16" s="14" t="s">
        <v>23</v>
      </c>
      <c r="D16" s="27" t="s">
        <v>24</v>
      </c>
      <c r="E16" s="28" t="s">
        <v>5</v>
      </c>
    </row>
    <row r="17" spans="2:6" ht="16.5" thickBot="1" x14ac:dyDescent="0.3">
      <c r="B17" s="257"/>
      <c r="C17" s="14" t="s">
        <v>25</v>
      </c>
      <c r="D17" s="27" t="s">
        <v>26</v>
      </c>
      <c r="E17" s="28" t="s">
        <v>5</v>
      </c>
    </row>
    <row r="18" spans="2:6" ht="16.5" thickBot="1" x14ac:dyDescent="0.3">
      <c r="B18" s="257"/>
      <c r="C18" s="14" t="s">
        <v>27</v>
      </c>
      <c r="D18" s="27" t="s">
        <v>28</v>
      </c>
      <c r="E18" s="28" t="s">
        <v>5</v>
      </c>
    </row>
    <row r="19" spans="2:6" ht="16.5" thickBot="1" x14ac:dyDescent="0.3">
      <c r="B19" s="257"/>
      <c r="C19" s="14" t="s">
        <v>29</v>
      </c>
      <c r="D19" s="27" t="s">
        <v>30</v>
      </c>
      <c r="E19" s="28" t="s">
        <v>5</v>
      </c>
    </row>
    <row r="20" spans="2:6" ht="16.5" thickBot="1" x14ac:dyDescent="0.3">
      <c r="B20" s="257"/>
      <c r="C20" s="14" t="s">
        <v>31</v>
      </c>
      <c r="D20" s="27" t="s">
        <v>32</v>
      </c>
      <c r="E20" s="28" t="s">
        <v>5</v>
      </c>
    </row>
    <row r="21" spans="2:6" ht="16.5" thickBot="1" x14ac:dyDescent="0.3">
      <c r="B21" s="257"/>
      <c r="C21" s="14" t="s">
        <v>33</v>
      </c>
      <c r="D21" s="27" t="s">
        <v>34</v>
      </c>
      <c r="E21" s="28" t="s">
        <v>5</v>
      </c>
    </row>
    <row r="22" spans="2:6" ht="15.75" thickBot="1" x14ac:dyDescent="0.3">
      <c r="C22" s="4"/>
      <c r="D22" s="4"/>
      <c r="E22" s="4"/>
    </row>
    <row r="23" spans="2:6" ht="17.25" thickBot="1" x14ac:dyDescent="0.3">
      <c r="C23" s="17" t="s">
        <v>35</v>
      </c>
      <c r="D23" s="19" t="s">
        <v>36</v>
      </c>
      <c r="E23" s="19" t="s">
        <v>2</v>
      </c>
      <c r="F23" s="18" t="s">
        <v>37</v>
      </c>
    </row>
    <row r="24" spans="2:6" ht="16.5" thickBot="1" x14ac:dyDescent="0.3">
      <c r="C24" s="608" t="s">
        <v>38</v>
      </c>
      <c r="D24" s="20" t="s">
        <v>39</v>
      </c>
      <c r="E24" s="13" t="s">
        <v>6</v>
      </c>
      <c r="F24" s="15" t="s">
        <v>40</v>
      </c>
    </row>
    <row r="25" spans="2:6" ht="32.25" thickBot="1" x14ac:dyDescent="0.3">
      <c r="C25" s="608"/>
      <c r="D25" s="20" t="s">
        <v>356</v>
      </c>
      <c r="E25" s="13" t="s">
        <v>8</v>
      </c>
      <c r="F25" s="21" t="s">
        <v>41</v>
      </c>
    </row>
    <row r="26" spans="2:6" ht="16.5" thickBot="1" x14ac:dyDescent="0.3">
      <c r="C26" s="608" t="s">
        <v>357</v>
      </c>
      <c r="D26" s="20" t="s">
        <v>42</v>
      </c>
      <c r="E26" s="22" t="s">
        <v>9</v>
      </c>
      <c r="F26" s="16" t="s">
        <v>43</v>
      </c>
    </row>
    <row r="27" spans="2:6" ht="32.25" thickBot="1" x14ac:dyDescent="0.3">
      <c r="C27" s="608"/>
      <c r="D27" s="20" t="s">
        <v>44</v>
      </c>
      <c r="E27" s="22" t="s">
        <v>9</v>
      </c>
      <c r="F27" s="21" t="s">
        <v>45</v>
      </c>
    </row>
    <row r="28" spans="2:6" ht="35.25" customHeight="1" thickBot="1" x14ac:dyDescent="0.3">
      <c r="C28" s="608"/>
      <c r="D28" s="20" t="s">
        <v>358</v>
      </c>
      <c r="E28" s="14" t="s">
        <v>11</v>
      </c>
      <c r="F28" s="21" t="s">
        <v>46</v>
      </c>
    </row>
  </sheetData>
  <mergeCells count="4">
    <mergeCell ref="C1:D1"/>
    <mergeCell ref="C24:C25"/>
    <mergeCell ref="C26:C28"/>
    <mergeCell ref="D2:E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sheetPr>
  <dimension ref="A1:N17"/>
  <sheetViews>
    <sheetView workbookViewId="0">
      <pane xSplit="1" ySplit="2" topLeftCell="B3" activePane="bottomRight" state="frozen"/>
      <selection pane="topRight" activeCell="B1" sqref="B1"/>
      <selection pane="bottomLeft" activeCell="A4" sqref="A4"/>
      <selection pane="bottomRight" activeCell="D11" sqref="D11"/>
    </sheetView>
  </sheetViews>
  <sheetFormatPr baseColWidth="10" defaultColWidth="11.28515625" defaultRowHeight="15" x14ac:dyDescent="0.25"/>
  <cols>
    <col min="1" max="1" width="17.7109375" customWidth="1"/>
    <col min="2" max="2" width="3.7109375" customWidth="1"/>
    <col min="3" max="4" width="15.7109375" customWidth="1"/>
    <col min="5" max="5" width="3.85546875" customWidth="1"/>
  </cols>
  <sheetData>
    <row r="1" spans="1:14" x14ac:dyDescent="0.25">
      <c r="C1" s="1" t="s">
        <v>0</v>
      </c>
      <c r="D1" s="1"/>
    </row>
    <row r="2" spans="1:14" ht="45.75" customHeight="1" x14ac:dyDescent="0.25">
      <c r="C2" s="714" t="s">
        <v>167</v>
      </c>
      <c r="D2" s="714"/>
      <c r="E2" s="714"/>
      <c r="F2" s="714"/>
      <c r="G2" s="714"/>
      <c r="H2" s="714"/>
      <c r="I2" s="714"/>
      <c r="J2" s="714"/>
      <c r="K2" s="714"/>
      <c r="L2" s="714"/>
      <c r="M2" s="714"/>
      <c r="N2" s="714"/>
    </row>
    <row r="4" spans="1:14" ht="75" customHeight="1" x14ac:dyDescent="0.25">
      <c r="C4" s="707" t="s">
        <v>233</v>
      </c>
      <c r="D4" s="708"/>
    </row>
    <row r="5" spans="1:14" ht="15.75" thickBot="1" x14ac:dyDescent="0.3"/>
    <row r="6" spans="1:14" ht="27.75" thickBot="1" x14ac:dyDescent="0.3">
      <c r="C6" s="63" t="s">
        <v>157</v>
      </c>
      <c r="D6" s="65" t="s">
        <v>168</v>
      </c>
    </row>
    <row r="7" spans="1:14" ht="27.75" thickBot="1" x14ac:dyDescent="0.3">
      <c r="A7" s="194" t="s">
        <v>211</v>
      </c>
      <c r="B7" s="230"/>
      <c r="C7" s="276" t="s">
        <v>123</v>
      </c>
      <c r="D7" s="279">
        <f>'Grille tarifaire'!I12</f>
        <v>0.33</v>
      </c>
    </row>
    <row r="8" spans="1:14" ht="15.75" thickBot="1" x14ac:dyDescent="0.3">
      <c r="A8" s="88"/>
      <c r="C8" s="228"/>
      <c r="D8" s="228"/>
    </row>
    <row r="9" spans="1:14" ht="27.75" thickBot="1" x14ac:dyDescent="0.3">
      <c r="A9" s="194" t="s">
        <v>209</v>
      </c>
      <c r="C9" s="275" t="s">
        <v>123</v>
      </c>
      <c r="D9" s="280">
        <f>'Grille tarifaire'!J12</f>
        <v>0.33</v>
      </c>
    </row>
    <row r="10" spans="1:14" ht="15.75" thickBot="1" x14ac:dyDescent="0.3">
      <c r="A10" s="90"/>
      <c r="C10" s="6"/>
      <c r="D10" s="91"/>
    </row>
    <row r="11" spans="1:14" ht="27.75" thickBot="1" x14ac:dyDescent="0.3">
      <c r="A11" s="195" t="s">
        <v>210</v>
      </c>
      <c r="C11" s="275" t="s">
        <v>123</v>
      </c>
      <c r="D11" s="280">
        <f>'Grille tarifaire'!K12</f>
        <v>0.35</v>
      </c>
    </row>
    <row r="12" spans="1:14" ht="15.75" thickBot="1" x14ac:dyDescent="0.3">
      <c r="A12" s="89"/>
      <c r="C12" s="6"/>
      <c r="D12" s="91"/>
    </row>
    <row r="13" spans="1:14" ht="27.75" thickBot="1" x14ac:dyDescent="0.3">
      <c r="A13" s="194" t="s">
        <v>212</v>
      </c>
      <c r="C13" s="275" t="s">
        <v>123</v>
      </c>
      <c r="D13" s="280">
        <f>'Grille tarifaire'!L12</f>
        <v>0.36</v>
      </c>
    </row>
    <row r="14" spans="1:14" x14ac:dyDescent="0.25">
      <c r="C14" s="6"/>
      <c r="D14" s="6"/>
    </row>
    <row r="15" spans="1:14" x14ac:dyDescent="0.25">
      <c r="A15" s="88"/>
    </row>
    <row r="16" spans="1:14" x14ac:dyDescent="0.25">
      <c r="A16" s="88"/>
    </row>
    <row r="17" spans="1:1" x14ac:dyDescent="0.25">
      <c r="A17" s="88"/>
    </row>
  </sheetData>
  <mergeCells count="2">
    <mergeCell ref="C2:N2"/>
    <mergeCell ref="C4:D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sheetPr>
  <dimension ref="A1:W19"/>
  <sheetViews>
    <sheetView zoomScale="90" zoomScaleNormal="90" workbookViewId="0">
      <pane xSplit="1" ySplit="2" topLeftCell="B3" activePane="bottomRight" state="frozen"/>
      <selection pane="topRight" activeCell="B1" sqref="B1"/>
      <selection pane="bottomLeft" activeCell="A3" sqref="A3"/>
      <selection pane="bottomRight" activeCell="D14" sqref="D14"/>
    </sheetView>
  </sheetViews>
  <sheetFormatPr baseColWidth="10" defaultColWidth="11.28515625" defaultRowHeight="15" x14ac:dyDescent="0.25"/>
  <cols>
    <col min="1" max="1" width="17.7109375" customWidth="1"/>
    <col min="2" max="2" width="3" customWidth="1"/>
    <col min="3" max="6" width="11.28515625" customWidth="1"/>
    <col min="9" max="9" width="3.140625" customWidth="1"/>
    <col min="11" max="15" width="11.28515625" customWidth="1"/>
    <col min="16" max="16" width="3.140625" customWidth="1"/>
    <col min="21" max="22" width="11.28515625" customWidth="1"/>
    <col min="23" max="23" width="25.7109375" customWidth="1"/>
  </cols>
  <sheetData>
    <row r="1" spans="1:23" x14ac:dyDescent="0.25">
      <c r="C1" s="1" t="s">
        <v>0</v>
      </c>
      <c r="V1" s="1"/>
    </row>
    <row r="2" spans="1:23" ht="48" customHeight="1" x14ac:dyDescent="0.25">
      <c r="C2" s="715" t="s">
        <v>169</v>
      </c>
      <c r="D2" s="715"/>
      <c r="E2" s="715"/>
      <c r="F2" s="715"/>
      <c r="G2" s="715"/>
      <c r="H2" s="715"/>
      <c r="I2" s="715"/>
      <c r="J2" s="715"/>
      <c r="K2" s="715"/>
      <c r="L2" s="715"/>
      <c r="M2" s="715"/>
      <c r="N2" s="715"/>
      <c r="O2" s="715"/>
      <c r="P2" s="715"/>
      <c r="Q2" s="715"/>
      <c r="R2" s="715"/>
    </row>
    <row r="3" spans="1:23" ht="48" customHeight="1" x14ac:dyDescent="0.25">
      <c r="C3" s="716" t="s">
        <v>281</v>
      </c>
      <c r="D3" s="716"/>
      <c r="E3" s="716"/>
      <c r="F3" s="716"/>
      <c r="G3" s="716"/>
      <c r="H3" s="716"/>
      <c r="I3" s="716"/>
      <c r="J3" s="716"/>
      <c r="K3" s="716"/>
      <c r="L3" s="716"/>
      <c r="M3" s="716"/>
      <c r="N3" s="716"/>
      <c r="O3" s="716"/>
      <c r="P3" s="716"/>
      <c r="Q3" s="716"/>
      <c r="R3" s="716"/>
    </row>
    <row r="5" spans="1:23" ht="42" customHeight="1" x14ac:dyDescent="0.25">
      <c r="C5" s="707" t="s">
        <v>234</v>
      </c>
      <c r="D5" s="708"/>
      <c r="E5" s="708"/>
      <c r="F5" s="708"/>
      <c r="G5" s="708"/>
      <c r="H5" s="708"/>
      <c r="J5" s="707" t="s">
        <v>235</v>
      </c>
      <c r="K5" s="708"/>
      <c r="L5" s="708"/>
      <c r="M5" s="708"/>
      <c r="N5" s="708"/>
      <c r="O5" s="708"/>
      <c r="Q5" s="707" t="s">
        <v>236</v>
      </c>
      <c r="R5" s="708"/>
      <c r="S5" s="708"/>
      <c r="T5" s="708"/>
      <c r="U5" s="708"/>
      <c r="V5" s="708"/>
    </row>
    <row r="6" spans="1:23" ht="15.75" thickBot="1" x14ac:dyDescent="0.3">
      <c r="H6" s="61"/>
      <c r="O6" s="61"/>
      <c r="V6" s="61"/>
    </row>
    <row r="7" spans="1:23" ht="54.75" thickBot="1" x14ac:dyDescent="0.3">
      <c r="C7" s="63" t="s">
        <v>170</v>
      </c>
      <c r="D7" s="65" t="s">
        <v>171</v>
      </c>
      <c r="E7" s="68" t="s">
        <v>172</v>
      </c>
      <c r="F7" s="68" t="s">
        <v>173</v>
      </c>
      <c r="G7" s="69" t="s">
        <v>174</v>
      </c>
      <c r="H7" s="65" t="s">
        <v>175</v>
      </c>
      <c r="J7" s="63" t="s">
        <v>176</v>
      </c>
      <c r="K7" s="65" t="s">
        <v>171</v>
      </c>
      <c r="L7" s="68" t="s">
        <v>172</v>
      </c>
      <c r="M7" s="68" t="s">
        <v>173</v>
      </c>
      <c r="N7" s="69" t="s">
        <v>174</v>
      </c>
      <c r="O7" s="65" t="s">
        <v>175</v>
      </c>
      <c r="Q7" s="63" t="s">
        <v>177</v>
      </c>
      <c r="R7" s="65" t="s">
        <v>171</v>
      </c>
      <c r="S7" s="68" t="s">
        <v>172</v>
      </c>
      <c r="T7" s="68" t="s">
        <v>173</v>
      </c>
      <c r="U7" s="69" t="s">
        <v>174</v>
      </c>
      <c r="V7" s="65" t="s">
        <v>175</v>
      </c>
    </row>
    <row r="8" spans="1:23" ht="68.25" thickBot="1" x14ac:dyDescent="0.3">
      <c r="A8" s="709" t="s">
        <v>211</v>
      </c>
      <c r="B8" s="230"/>
      <c r="C8" s="276" t="s">
        <v>178</v>
      </c>
      <c r="D8" s="279">
        <f>'Grille tarifaire'!I13</f>
        <v>1.43</v>
      </c>
      <c r="E8" s="279">
        <f>'Grille tarifaire'!I14</f>
        <v>1.37</v>
      </c>
      <c r="F8" s="279">
        <f>'Grille tarifaire'!I15</f>
        <v>1.35</v>
      </c>
      <c r="G8" s="279">
        <f>'Grille tarifaire'!I16</f>
        <v>1.28</v>
      </c>
      <c r="H8" s="279">
        <f>'Grille tarifaire'!I17</f>
        <v>1.05</v>
      </c>
      <c r="J8" s="276" t="s">
        <v>178</v>
      </c>
      <c r="K8" s="281">
        <f>'Grille tarifaire'!I23</f>
        <v>4.42</v>
      </c>
      <c r="L8" s="281">
        <f>'Grille tarifaire'!I24</f>
        <v>4.24</v>
      </c>
      <c r="M8" s="281">
        <f>'Grille tarifaire'!I25</f>
        <v>4.16</v>
      </c>
      <c r="N8" s="281">
        <f>'Grille tarifaire'!I26</f>
        <v>3.43</v>
      </c>
      <c r="O8" s="281">
        <f>'Grille tarifaire'!I27</f>
        <v>2.42</v>
      </c>
      <c r="Q8" s="276" t="s">
        <v>178</v>
      </c>
      <c r="R8" s="281">
        <f>'Grille tarifaire'!I33</f>
        <v>11.92</v>
      </c>
      <c r="S8" s="281">
        <f>'Grille tarifaire'!I34</f>
        <v>11.44</v>
      </c>
      <c r="T8" s="281">
        <f>'Grille tarifaire'!I35</f>
        <v>9.4</v>
      </c>
      <c r="U8" s="281">
        <f>'Grille tarifaire'!I36</f>
        <v>7.17</v>
      </c>
      <c r="V8" s="281">
        <f>'Grille tarifaire'!I37</f>
        <v>3.87</v>
      </c>
    </row>
    <row r="9" spans="1:23" ht="54.75" thickBot="1" x14ac:dyDescent="0.3">
      <c r="A9" s="710"/>
      <c r="B9" s="230"/>
      <c r="C9" s="277" t="s">
        <v>179</v>
      </c>
      <c r="D9" s="282">
        <f>'Grille tarifaire'!I18</f>
        <v>1.29</v>
      </c>
      <c r="E9" s="282">
        <f>'Grille tarifaire'!I19</f>
        <v>0.88</v>
      </c>
      <c r="F9" s="282">
        <f>'Grille tarifaire'!I20</f>
        <v>0.85</v>
      </c>
      <c r="G9" s="282">
        <f>'Grille tarifaire'!I21</f>
        <v>0.67</v>
      </c>
      <c r="H9" s="8">
        <f>'Grille tarifaire'!I22</f>
        <v>0.54</v>
      </c>
      <c r="J9" s="283" t="s">
        <v>179</v>
      </c>
      <c r="K9" s="284">
        <f>'Grille tarifaire'!I28</f>
        <v>1.0900000000000001</v>
      </c>
      <c r="L9" s="284">
        <f>'Grille tarifaire'!I29</f>
        <v>0.85</v>
      </c>
      <c r="M9" s="284">
        <f>'Grille tarifaire'!I30</f>
        <v>0.65</v>
      </c>
      <c r="N9" s="284">
        <f>'Grille tarifaire'!I31</f>
        <v>0.51</v>
      </c>
      <c r="O9" s="8">
        <f>'Grille tarifaire'!I32</f>
        <v>0.34</v>
      </c>
      <c r="Q9" s="283" t="s">
        <v>179</v>
      </c>
      <c r="R9" s="281">
        <f>'Grille tarifaire'!I38</f>
        <v>0.78</v>
      </c>
      <c r="S9" s="281">
        <f>'Grille tarifaire'!I39</f>
        <v>0.61</v>
      </c>
      <c r="T9" s="281">
        <f>'Grille tarifaire'!I40</f>
        <v>0.45</v>
      </c>
      <c r="U9" s="281">
        <f>'Grille tarifaire'!I41</f>
        <v>0.31</v>
      </c>
      <c r="V9" s="281">
        <f>'Grille tarifaire'!I42</f>
        <v>0.25</v>
      </c>
    </row>
    <row r="10" spans="1:23" ht="15.75" thickBot="1" x14ac:dyDescent="0.3">
      <c r="A10" s="88"/>
      <c r="C10" s="6"/>
      <c r="D10" s="6"/>
      <c r="E10" s="6"/>
      <c r="F10" s="6"/>
      <c r="G10" s="6"/>
      <c r="H10" s="6"/>
      <c r="J10" s="6"/>
      <c r="K10" s="6"/>
      <c r="L10" s="6"/>
      <c r="M10" s="6"/>
      <c r="N10" s="6"/>
      <c r="O10" s="6"/>
      <c r="Q10" s="6"/>
      <c r="R10" s="228"/>
      <c r="S10" s="228"/>
      <c r="T10" s="228"/>
      <c r="U10" s="228"/>
      <c r="V10" s="228"/>
    </row>
    <row r="11" spans="1:23" ht="68.25" thickBot="1" x14ac:dyDescent="0.3">
      <c r="A11" s="709" t="s">
        <v>209</v>
      </c>
      <c r="C11" s="275" t="s">
        <v>178</v>
      </c>
      <c r="D11" s="280">
        <f>'Grille tarifaire'!J13</f>
        <v>1.92</v>
      </c>
      <c r="E11" s="280">
        <f>'Grille tarifaire'!J14</f>
        <v>1.92</v>
      </c>
      <c r="F11" s="280">
        <f>'Grille tarifaire'!J15</f>
        <v>1.92</v>
      </c>
      <c r="G11" s="280">
        <f>'Grille tarifaire'!J16</f>
        <v>1.92</v>
      </c>
      <c r="H11" s="280">
        <f>'Grille tarifaire'!J17</f>
        <v>1.68</v>
      </c>
      <c r="J11" s="275" t="s">
        <v>178</v>
      </c>
      <c r="K11" s="280">
        <f>'Grille tarifaire'!J23</f>
        <v>4.2</v>
      </c>
      <c r="L11" s="280">
        <f>'Grille tarifaire'!J24</f>
        <v>4.08</v>
      </c>
      <c r="M11" s="280">
        <f>'Grille tarifaire'!J25</f>
        <v>3.96</v>
      </c>
      <c r="N11" s="280">
        <f>'Grille tarifaire'!J26</f>
        <v>3.36</v>
      </c>
      <c r="O11" s="280">
        <f>'Grille tarifaire'!J27</f>
        <v>2.6399999999999997</v>
      </c>
      <c r="Q11" s="275" t="s">
        <v>178</v>
      </c>
      <c r="R11" s="280">
        <f>'Grille tarifaire'!J33</f>
        <v>11.28</v>
      </c>
      <c r="S11" s="280">
        <f>'Grille tarifaire'!J34</f>
        <v>10.799999999999999</v>
      </c>
      <c r="T11" s="280">
        <f>'Grille tarifaire'!J35</f>
        <v>8.76</v>
      </c>
      <c r="U11" s="280">
        <f>'Grille tarifaire'!J36</f>
        <v>6.4799999999999995</v>
      </c>
      <c r="V11" s="280">
        <f>'Grille tarifaire'!J37</f>
        <v>3.84</v>
      </c>
      <c r="W11" s="226"/>
    </row>
    <row r="12" spans="1:23" ht="54.75" thickBot="1" x14ac:dyDescent="0.3">
      <c r="A12" s="710"/>
      <c r="C12" s="277" t="s">
        <v>179</v>
      </c>
      <c r="D12" s="280">
        <f>'Grille tarifaire'!J18</f>
        <v>1.17</v>
      </c>
      <c r="E12" s="280">
        <f>'Grille tarifaire'!J19</f>
        <v>0.85</v>
      </c>
      <c r="F12" s="280">
        <f>'Grille tarifaire'!J20</f>
        <v>0.8</v>
      </c>
      <c r="G12" s="280">
        <f>'Grille tarifaire'!J21</f>
        <v>0.63</v>
      </c>
      <c r="H12" s="280">
        <f>'Grille tarifaire'!J22</f>
        <v>0.5</v>
      </c>
      <c r="J12" s="277" t="s">
        <v>179</v>
      </c>
      <c r="K12" s="280">
        <f>'Grille tarifaire'!J28</f>
        <v>0.98</v>
      </c>
      <c r="L12" s="280">
        <f>'Grille tarifaire'!J29</f>
        <v>0.8</v>
      </c>
      <c r="M12" s="280">
        <f>'Grille tarifaire'!J30</f>
        <v>0.64</v>
      </c>
      <c r="N12" s="280">
        <f>'Grille tarifaire'!J31</f>
        <v>0.51</v>
      </c>
      <c r="O12" s="280">
        <f>'Grille tarifaire'!J32</f>
        <v>0.37</v>
      </c>
      <c r="Q12" s="277" t="s">
        <v>179</v>
      </c>
      <c r="R12" s="280">
        <f>'Grille tarifaire'!J38</f>
        <v>0.69</v>
      </c>
      <c r="S12" s="280">
        <f>'Grille tarifaire'!J39</f>
        <v>0.56999999999999995</v>
      </c>
      <c r="T12" s="280">
        <f>'Grille tarifaire'!J40</f>
        <v>0.45</v>
      </c>
      <c r="U12" s="280">
        <f>'Grille tarifaire'!J41</f>
        <v>0.35</v>
      </c>
      <c r="V12" s="280">
        <f>'Grille tarifaire'!J42</f>
        <v>0.28999999999999998</v>
      </c>
    </row>
    <row r="13" spans="1:23" ht="15.75" thickBot="1" x14ac:dyDescent="0.3">
      <c r="A13" s="90"/>
      <c r="C13" s="6"/>
      <c r="D13" s="91"/>
      <c r="E13" s="91"/>
      <c r="F13" s="91"/>
      <c r="G13" s="91"/>
      <c r="H13" s="6"/>
      <c r="J13" s="6"/>
      <c r="K13" s="91"/>
      <c r="L13" s="91"/>
      <c r="M13" s="91"/>
      <c r="N13" s="91"/>
      <c r="O13" s="6"/>
      <c r="Q13" s="6"/>
      <c r="R13" s="91"/>
      <c r="S13" s="91"/>
      <c r="T13" s="91"/>
      <c r="U13" s="91"/>
      <c r="V13" s="6"/>
    </row>
    <row r="14" spans="1:23" ht="68.25" thickBot="1" x14ac:dyDescent="0.3">
      <c r="A14" s="711" t="s">
        <v>210</v>
      </c>
      <c r="C14" s="275" t="s">
        <v>178</v>
      </c>
      <c r="D14" s="280">
        <f>'Grille tarifaire'!K13</f>
        <v>2.6399999999999997</v>
      </c>
      <c r="E14" s="280">
        <f>'Grille tarifaire'!K14</f>
        <v>2.6399999999999997</v>
      </c>
      <c r="F14" s="280">
        <f>'Grille tarifaire'!K15</f>
        <v>2.6399999999999997</v>
      </c>
      <c r="G14" s="280">
        <f>'Grille tarifaire'!K16</f>
        <v>2.6399999999999997</v>
      </c>
      <c r="H14" s="280">
        <f>'Grille tarifaire'!K17</f>
        <v>2.52</v>
      </c>
      <c r="J14" s="275" t="s">
        <v>178</v>
      </c>
      <c r="K14" s="280">
        <f>'Grille tarifaire'!K23</f>
        <v>4.2</v>
      </c>
      <c r="L14" s="280">
        <f>'Grille tarifaire'!K24</f>
        <v>4.08</v>
      </c>
      <c r="M14" s="280">
        <f>'Grille tarifaire'!K25</f>
        <v>3.96</v>
      </c>
      <c r="N14" s="280">
        <f>'Grille tarifaire'!K26</f>
        <v>3.48</v>
      </c>
      <c r="O14" s="280">
        <f>'Grille tarifaire'!K27</f>
        <v>3</v>
      </c>
      <c r="Q14" s="275" t="s">
        <v>178</v>
      </c>
      <c r="R14" s="280">
        <f>'Grille tarifaire'!K33</f>
        <v>11.28</v>
      </c>
      <c r="S14" s="280">
        <f>'Grille tarifaire'!K34</f>
        <v>10.799999999999999</v>
      </c>
      <c r="T14" s="280">
        <f>'Grille tarifaire'!K35</f>
        <v>8.64</v>
      </c>
      <c r="U14" s="280">
        <f>'Grille tarifaire'!K36</f>
        <v>6.24</v>
      </c>
      <c r="V14" s="280">
        <f>'Grille tarifaire'!K37</f>
        <v>4.2</v>
      </c>
    </row>
    <row r="15" spans="1:23" ht="54.75" thickBot="1" x14ac:dyDescent="0.3">
      <c r="A15" s="712"/>
      <c r="C15" s="277" t="s">
        <v>179</v>
      </c>
      <c r="D15" s="280">
        <f>'Grille tarifaire'!K18</f>
        <v>1.1100000000000001</v>
      </c>
      <c r="E15" s="280">
        <f>'Grille tarifaire'!K19</f>
        <v>0.9</v>
      </c>
      <c r="F15" s="280">
        <f>'Grille tarifaire'!K20</f>
        <v>0.81</v>
      </c>
      <c r="G15" s="280">
        <f>'Grille tarifaire'!K21</f>
        <v>0.63</v>
      </c>
      <c r="H15" s="280">
        <f>'Grille tarifaire'!K22</f>
        <v>0.51</v>
      </c>
      <c r="J15" s="277" t="s">
        <v>179</v>
      </c>
      <c r="K15" s="280">
        <f>'Grille tarifaire'!K28</f>
        <v>0.93</v>
      </c>
      <c r="L15" s="280">
        <f>'Grille tarifaire'!K29</f>
        <v>0.81</v>
      </c>
      <c r="M15" s="280">
        <f>'Grille tarifaire'!K30</f>
        <v>0.68</v>
      </c>
      <c r="N15" s="280">
        <f>'Grille tarifaire'!K31</f>
        <v>0.54</v>
      </c>
      <c r="O15" s="280">
        <f>'Grille tarifaire'!K32</f>
        <v>0.44</v>
      </c>
      <c r="Q15" s="277" t="s">
        <v>179</v>
      </c>
      <c r="R15" s="280">
        <f>'Grille tarifaire'!K38</f>
        <v>0.65</v>
      </c>
      <c r="S15" s="280">
        <f>'Grille tarifaire'!K39</f>
        <v>0.57999999999999996</v>
      </c>
      <c r="T15" s="280">
        <f>'Grille tarifaire'!K40</f>
        <v>0.49</v>
      </c>
      <c r="U15" s="280">
        <f>'Grille tarifaire'!K41</f>
        <v>0.42</v>
      </c>
      <c r="V15" s="280">
        <f>'Grille tarifaire'!K42</f>
        <v>0.35</v>
      </c>
    </row>
    <row r="16" spans="1:23" ht="15.75" thickBot="1" x14ac:dyDescent="0.3">
      <c r="A16" s="89"/>
      <c r="C16" s="6"/>
      <c r="D16" s="91"/>
      <c r="E16" s="91"/>
      <c r="F16" s="91"/>
      <c r="G16" s="91"/>
      <c r="H16" s="6"/>
      <c r="J16" s="6"/>
      <c r="K16" s="91"/>
      <c r="L16" s="91"/>
      <c r="M16" s="91"/>
      <c r="N16" s="91"/>
      <c r="O16" s="6"/>
      <c r="Q16" s="6"/>
      <c r="R16" s="91"/>
      <c r="S16" s="91"/>
      <c r="T16" s="91"/>
      <c r="U16" s="91"/>
      <c r="V16" s="6"/>
    </row>
    <row r="17" spans="1:22" ht="68.25" thickBot="1" x14ac:dyDescent="0.3">
      <c r="A17" s="709" t="s">
        <v>212</v>
      </c>
      <c r="C17" s="275" t="s">
        <v>178</v>
      </c>
      <c r="D17" s="280">
        <f>'Grille tarifaire'!L13</f>
        <v>3.36</v>
      </c>
      <c r="E17" s="280">
        <f>'Grille tarifaire'!L14</f>
        <v>3.36</v>
      </c>
      <c r="F17" s="280">
        <f>'Grille tarifaire'!L15</f>
        <v>3.36</v>
      </c>
      <c r="G17" s="280">
        <f>'Grille tarifaire'!L16</f>
        <v>3.36</v>
      </c>
      <c r="H17" s="280">
        <f>'Grille tarifaire'!L17</f>
        <v>3.36</v>
      </c>
      <c r="J17" s="275" t="s">
        <v>178</v>
      </c>
      <c r="K17" s="280">
        <f>'Grille tarifaire'!L23</f>
        <v>4.08</v>
      </c>
      <c r="L17" s="280">
        <f>'Grille tarifaire'!L24</f>
        <v>3.96</v>
      </c>
      <c r="M17" s="280">
        <f>'Grille tarifaire'!L25</f>
        <v>3.7199999999999998</v>
      </c>
      <c r="N17" s="280">
        <f>'Grille tarifaire'!L26</f>
        <v>3.48</v>
      </c>
      <c r="O17" s="280">
        <f>'Grille tarifaire'!L27</f>
        <v>3.36</v>
      </c>
      <c r="Q17" s="275" t="s">
        <v>178</v>
      </c>
      <c r="R17" s="280">
        <f>'Grille tarifaire'!L33</f>
        <v>10.92</v>
      </c>
      <c r="S17" s="280">
        <f>'Grille tarifaire'!L34</f>
        <v>10.44</v>
      </c>
      <c r="T17" s="280">
        <f>'Grille tarifaire'!L35</f>
        <v>8.16</v>
      </c>
      <c r="U17" s="280">
        <f>'Grille tarifaire'!L36</f>
        <v>5.76</v>
      </c>
      <c r="V17" s="280">
        <f>'Grille tarifaire'!L37</f>
        <v>4.32</v>
      </c>
    </row>
    <row r="18" spans="1:22" ht="54.75" thickBot="1" x14ac:dyDescent="0.3">
      <c r="A18" s="713"/>
      <c r="C18" s="277" t="s">
        <v>179</v>
      </c>
      <c r="D18" s="280">
        <f>'Grille tarifaire'!L18</f>
        <v>0.99</v>
      </c>
      <c r="E18" s="280">
        <f>'Grille tarifaire'!L19</f>
        <v>0.89</v>
      </c>
      <c r="F18" s="280">
        <f>'Grille tarifaire'!L20</f>
        <v>0.78</v>
      </c>
      <c r="G18" s="280">
        <f>'Grille tarifaire'!L21</f>
        <v>0.61</v>
      </c>
      <c r="H18" s="280">
        <f>'Grille tarifaire'!L22</f>
        <v>0.49</v>
      </c>
      <c r="J18" s="277" t="s">
        <v>179</v>
      </c>
      <c r="K18" s="280">
        <f>'Grille tarifaire'!L28</f>
        <v>0.83</v>
      </c>
      <c r="L18" s="280">
        <f>'Grille tarifaire'!L29</f>
        <v>0.77</v>
      </c>
      <c r="M18" s="280">
        <f>'Grille tarifaire'!L30</f>
        <v>0.7</v>
      </c>
      <c r="N18" s="280">
        <f>'Grille tarifaire'!L31</f>
        <v>0.56999999999999995</v>
      </c>
      <c r="O18" s="280">
        <f>'Grille tarifaire'!L32</f>
        <v>0.48</v>
      </c>
      <c r="Q18" s="277" t="s">
        <v>179</v>
      </c>
      <c r="R18" s="280">
        <f>'Grille tarifaire'!L38</f>
        <v>0.59</v>
      </c>
      <c r="S18" s="280">
        <f>'Grille tarifaire'!L39</f>
        <v>0.56000000000000005</v>
      </c>
      <c r="T18" s="280">
        <f>'Grille tarifaire'!L40</f>
        <v>0.51</v>
      </c>
      <c r="U18" s="280">
        <f>'Grille tarifaire'!L41</f>
        <v>0.47</v>
      </c>
      <c r="V18" s="280">
        <f>'Grille tarifaire'!L42</f>
        <v>0.41</v>
      </c>
    </row>
    <row r="19" spans="1:22" x14ac:dyDescent="0.25">
      <c r="A19" s="88"/>
      <c r="O19" s="161"/>
      <c r="P19" s="161"/>
    </row>
  </sheetData>
  <mergeCells count="9">
    <mergeCell ref="A8:A9"/>
    <mergeCell ref="A11:A12"/>
    <mergeCell ref="A14:A15"/>
    <mergeCell ref="A17:A18"/>
    <mergeCell ref="C2:R2"/>
    <mergeCell ref="C3:R3"/>
    <mergeCell ref="C5:H5"/>
    <mergeCell ref="J5:O5"/>
    <mergeCell ref="Q5:V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sheetPr>
  <dimension ref="A1:V19"/>
  <sheetViews>
    <sheetView workbookViewId="0">
      <pane xSplit="1" ySplit="2" topLeftCell="B12" activePane="bottomRight" state="frozen"/>
      <selection pane="topRight" activeCell="B1" sqref="B1"/>
      <selection pane="bottomLeft" activeCell="A3" sqref="A3"/>
      <selection pane="bottomRight" activeCell="B14" sqref="A14:XFD14"/>
    </sheetView>
  </sheetViews>
  <sheetFormatPr baseColWidth="10" defaultColWidth="11.28515625" defaultRowHeight="15" x14ac:dyDescent="0.25"/>
  <cols>
    <col min="1" max="1" width="17.7109375" customWidth="1"/>
    <col min="2" max="2" width="3" customWidth="1"/>
    <col min="3" max="6" width="11.28515625" customWidth="1"/>
    <col min="9" max="9" width="3.140625" customWidth="1"/>
    <col min="11" max="15" width="11.28515625" customWidth="1"/>
    <col min="16" max="16" width="3.140625" customWidth="1"/>
    <col min="21" max="22" width="11.28515625" customWidth="1"/>
    <col min="23" max="23" width="25.7109375" customWidth="1"/>
  </cols>
  <sheetData>
    <row r="1" spans="1:22" x14ac:dyDescent="0.25">
      <c r="C1" s="1" t="s">
        <v>0</v>
      </c>
      <c r="V1" s="1"/>
    </row>
    <row r="2" spans="1:22" ht="48" customHeight="1" x14ac:dyDescent="0.25">
      <c r="C2" s="715" t="s">
        <v>180</v>
      </c>
      <c r="D2" s="715"/>
      <c r="E2" s="715"/>
      <c r="F2" s="715"/>
      <c r="G2" s="715"/>
      <c r="H2" s="715"/>
      <c r="I2" s="715"/>
      <c r="J2" s="715"/>
      <c r="K2" s="715"/>
      <c r="L2" s="715"/>
      <c r="M2" s="715"/>
      <c r="N2" s="715"/>
      <c r="O2" s="715"/>
      <c r="P2" s="715"/>
      <c r="Q2" s="715"/>
      <c r="R2" s="715"/>
    </row>
    <row r="3" spans="1:22" ht="48" customHeight="1" x14ac:dyDescent="0.25">
      <c r="C3" s="716" t="s">
        <v>289</v>
      </c>
      <c r="D3" s="716"/>
      <c r="E3" s="716"/>
      <c r="F3" s="716"/>
      <c r="G3" s="716"/>
      <c r="H3" s="716"/>
      <c r="I3" s="716"/>
      <c r="J3" s="716"/>
      <c r="K3" s="716"/>
      <c r="L3" s="716"/>
      <c r="M3" s="716"/>
      <c r="N3" s="716"/>
      <c r="O3" s="716"/>
      <c r="P3" s="716"/>
      <c r="Q3" s="716"/>
      <c r="R3" s="716"/>
    </row>
    <row r="5" spans="1:22" ht="42" customHeight="1" x14ac:dyDescent="0.25">
      <c r="C5" s="707" t="s">
        <v>237</v>
      </c>
      <c r="D5" s="708"/>
      <c r="E5" s="708"/>
      <c r="F5" s="708"/>
      <c r="G5" s="708"/>
      <c r="H5" s="708"/>
      <c r="J5" s="707" t="s">
        <v>238</v>
      </c>
      <c r="K5" s="708"/>
      <c r="L5" s="708"/>
      <c r="M5" s="708"/>
      <c r="N5" s="708"/>
      <c r="O5" s="708"/>
      <c r="Q5" s="707" t="s">
        <v>239</v>
      </c>
      <c r="R5" s="708"/>
      <c r="S5" s="708"/>
      <c r="T5" s="708"/>
      <c r="U5" s="708"/>
      <c r="V5" s="708"/>
    </row>
    <row r="6" spans="1:22" ht="15.75" thickBot="1" x14ac:dyDescent="0.3">
      <c r="H6" s="61"/>
      <c r="O6" s="61"/>
      <c r="V6" s="61"/>
    </row>
    <row r="7" spans="1:22" ht="54.75" thickBot="1" x14ac:dyDescent="0.3">
      <c r="C7" s="63" t="s">
        <v>181</v>
      </c>
      <c r="D7" s="65" t="s">
        <v>171</v>
      </c>
      <c r="E7" s="68" t="s">
        <v>172</v>
      </c>
      <c r="F7" s="68" t="s">
        <v>173</v>
      </c>
      <c r="G7" s="69" t="s">
        <v>174</v>
      </c>
      <c r="H7" s="65" t="s">
        <v>175</v>
      </c>
      <c r="J7" s="63" t="s">
        <v>182</v>
      </c>
      <c r="K7" s="65" t="s">
        <v>171</v>
      </c>
      <c r="L7" s="68" t="s">
        <v>172</v>
      </c>
      <c r="M7" s="68" t="s">
        <v>173</v>
      </c>
      <c r="N7" s="69" t="s">
        <v>174</v>
      </c>
      <c r="O7" s="65" t="s">
        <v>175</v>
      </c>
      <c r="Q7" s="63" t="s">
        <v>183</v>
      </c>
      <c r="R7" s="65" t="s">
        <v>171</v>
      </c>
      <c r="S7" s="68" t="s">
        <v>172</v>
      </c>
      <c r="T7" s="68" t="s">
        <v>173</v>
      </c>
      <c r="U7" s="69" t="s">
        <v>174</v>
      </c>
      <c r="V7" s="65" t="s">
        <v>175</v>
      </c>
    </row>
    <row r="8" spans="1:22" ht="68.25" thickBot="1" x14ac:dyDescent="0.3">
      <c r="A8" s="709" t="s">
        <v>211</v>
      </c>
      <c r="C8" s="276" t="s">
        <v>178</v>
      </c>
      <c r="D8" s="281">
        <f>'Grille tarifaire'!I43</f>
        <v>4.1900000000000004</v>
      </c>
      <c r="E8" s="281">
        <f>'Grille tarifaire'!I44</f>
        <v>3.88</v>
      </c>
      <c r="F8" s="281">
        <f>'Grille tarifaire'!I45</f>
        <v>3.77</v>
      </c>
      <c r="G8" s="281">
        <f>'Grille tarifaire'!I46</f>
        <v>3.19</v>
      </c>
      <c r="H8" s="281">
        <f>'Grille tarifaire'!I47</f>
        <v>2.8</v>
      </c>
      <c r="J8" s="276" t="s">
        <v>178</v>
      </c>
      <c r="K8" s="281">
        <f>'Grille tarifaire'!I53</f>
        <v>16.63</v>
      </c>
      <c r="L8" s="281">
        <f>'Grille tarifaire'!I54</f>
        <v>16.02</v>
      </c>
      <c r="M8" s="281">
        <f>'Grille tarifaire'!I55</f>
        <v>13.59</v>
      </c>
      <c r="N8" s="281">
        <f>'Grille tarifaire'!I56</f>
        <v>9.91</v>
      </c>
      <c r="O8" s="281">
        <f>'Grille tarifaire'!I57</f>
        <v>5.87</v>
      </c>
      <c r="Q8" s="276" t="s">
        <v>178</v>
      </c>
      <c r="R8" s="281">
        <f>'Grille tarifaire'!I63</f>
        <v>32.17</v>
      </c>
      <c r="S8" s="281">
        <f>'Grille tarifaire'!I64</f>
        <v>30.99</v>
      </c>
      <c r="T8" s="281">
        <f>'Grille tarifaire'!I65</f>
        <v>24.86</v>
      </c>
      <c r="U8" s="281">
        <f>'Grille tarifaire'!I66</f>
        <v>17.489999999999998</v>
      </c>
      <c r="V8" s="281">
        <f>'Grille tarifaire'!I67</f>
        <v>9.94</v>
      </c>
    </row>
    <row r="9" spans="1:22" ht="54.75" thickBot="1" x14ac:dyDescent="0.3">
      <c r="A9" s="710"/>
      <c r="C9" s="283" t="s">
        <v>179</v>
      </c>
      <c r="D9" s="284">
        <f>'Grille tarifaire'!I48</f>
        <v>2.2999999999999998</v>
      </c>
      <c r="E9" s="284">
        <f>'Grille tarifaire'!I49</f>
        <v>1.88</v>
      </c>
      <c r="F9" s="284">
        <f>'Grille tarifaire'!I50</f>
        <v>1.57</v>
      </c>
      <c r="G9" s="284">
        <f>'Grille tarifaire'!I51</f>
        <v>1.18</v>
      </c>
      <c r="H9" s="8">
        <f>'Grille tarifaire'!I52</f>
        <v>0.85</v>
      </c>
      <c r="J9" s="283" t="s">
        <v>179</v>
      </c>
      <c r="K9" s="284">
        <f>'Grille tarifaire'!I58</f>
        <v>1.7</v>
      </c>
      <c r="L9" s="284">
        <f>'Grille tarifaire'!I59</f>
        <v>1.39</v>
      </c>
      <c r="M9" s="284">
        <f>'Grille tarifaire'!I60</f>
        <v>0.92</v>
      </c>
      <c r="N9" s="284">
        <f>'Grille tarifaire'!I61</f>
        <v>0.65</v>
      </c>
      <c r="O9" s="8">
        <f>'Grille tarifaire'!I62</f>
        <v>0.44</v>
      </c>
      <c r="Q9" s="283" t="s">
        <v>179</v>
      </c>
      <c r="R9" s="281">
        <f>'Grille tarifaire'!I68</f>
        <v>1.24</v>
      </c>
      <c r="S9" s="281">
        <f>'Grille tarifaire'!I69</f>
        <v>0.95</v>
      </c>
      <c r="T9" s="281">
        <f>'Grille tarifaire'!I70</f>
        <v>0.6</v>
      </c>
      <c r="U9" s="281">
        <f>'Grille tarifaire'!I71</f>
        <v>0.41</v>
      </c>
      <c r="V9" s="281">
        <f>'Grille tarifaire'!I72</f>
        <v>0.21</v>
      </c>
    </row>
    <row r="10" spans="1:22" ht="15.75" thickBot="1" x14ac:dyDescent="0.3">
      <c r="A10" s="88"/>
      <c r="C10" s="6"/>
      <c r="D10" s="6"/>
      <c r="E10" s="6"/>
      <c r="F10" s="6"/>
      <c r="G10" s="6"/>
      <c r="H10" s="6"/>
      <c r="J10" s="6"/>
      <c r="K10" s="6"/>
      <c r="L10" s="6"/>
      <c r="M10" s="6"/>
      <c r="N10" s="6"/>
      <c r="O10" s="6"/>
      <c r="Q10" s="6"/>
      <c r="R10" s="6"/>
      <c r="S10" s="6"/>
      <c r="T10" s="6"/>
      <c r="U10" s="6"/>
      <c r="V10" s="6"/>
    </row>
    <row r="11" spans="1:22" ht="68.25" thickBot="1" x14ac:dyDescent="0.3">
      <c r="A11" s="709" t="s">
        <v>209</v>
      </c>
      <c r="C11" s="275" t="s">
        <v>178</v>
      </c>
      <c r="D11" s="280">
        <f>'Grille tarifaire'!J43</f>
        <v>5.88</v>
      </c>
      <c r="E11" s="280">
        <f>'Grille tarifaire'!J44</f>
        <v>5.64</v>
      </c>
      <c r="F11" s="280">
        <f>'Grille tarifaire'!J45</f>
        <v>5.64</v>
      </c>
      <c r="G11" s="280">
        <f>'Grille tarifaire'!J46</f>
        <v>5.2799999999999994</v>
      </c>
      <c r="H11" s="280">
        <f>'Grille tarifaire'!J47</f>
        <v>4.92</v>
      </c>
      <c r="J11" s="275" t="s">
        <v>178</v>
      </c>
      <c r="K11" s="280">
        <f>'Grille tarifaire'!J53</f>
        <v>14.639999999999999</v>
      </c>
      <c r="L11" s="280">
        <f>'Grille tarifaire'!J54</f>
        <v>14.16</v>
      </c>
      <c r="M11" s="280">
        <f>'Grille tarifaire'!J55</f>
        <v>12.36</v>
      </c>
      <c r="N11" s="280">
        <f>'Grille tarifaire'!J56</f>
        <v>9.84</v>
      </c>
      <c r="O11" s="280">
        <f>'Grille tarifaire'!J57</f>
        <v>7.08</v>
      </c>
      <c r="Q11" s="275" t="s">
        <v>178</v>
      </c>
      <c r="R11" s="280">
        <f>'Grille tarifaire'!J63</f>
        <v>32.64</v>
      </c>
      <c r="S11" s="280">
        <f>'Grille tarifaire'!J64</f>
        <v>31.32</v>
      </c>
      <c r="T11" s="280">
        <f>'Grille tarifaire'!J65</f>
        <v>24.96</v>
      </c>
      <c r="U11" s="280">
        <f>'Grille tarifaire'!J66</f>
        <v>17.399999999999999</v>
      </c>
      <c r="V11" s="280">
        <f>'Grille tarifaire'!J67</f>
        <v>10.799999999999999</v>
      </c>
    </row>
    <row r="12" spans="1:22" ht="54.75" thickBot="1" x14ac:dyDescent="0.3">
      <c r="A12" s="710"/>
      <c r="C12" s="277" t="s">
        <v>179</v>
      </c>
      <c r="D12" s="280">
        <f>'Grille tarifaire'!J48</f>
        <v>2.1800000000000002</v>
      </c>
      <c r="E12" s="280">
        <f>'Grille tarifaire'!J49</f>
        <v>1.8</v>
      </c>
      <c r="F12" s="280">
        <f>'Grille tarifaire'!J50</f>
        <v>1.53</v>
      </c>
      <c r="G12" s="280">
        <f>'Grille tarifaire'!J51</f>
        <v>1.08</v>
      </c>
      <c r="H12" s="280">
        <f>'Grille tarifaire'!J52</f>
        <v>0.77</v>
      </c>
      <c r="J12" s="277" t="s">
        <v>179</v>
      </c>
      <c r="K12" s="280">
        <f>'Grille tarifaire'!J58</f>
        <v>1.64</v>
      </c>
      <c r="L12" s="280">
        <f>'Grille tarifaire'!J59</f>
        <v>1.38</v>
      </c>
      <c r="M12" s="280">
        <f>'Grille tarifaire'!J60</f>
        <v>1.01</v>
      </c>
      <c r="N12" s="280">
        <f>'Grille tarifaire'!J61</f>
        <v>0.7</v>
      </c>
      <c r="O12" s="280">
        <f>'Grille tarifaire'!J62</f>
        <v>0.5</v>
      </c>
      <c r="Q12" s="277" t="s">
        <v>179</v>
      </c>
      <c r="R12" s="280">
        <f>'Grille tarifaire'!J68</f>
        <v>1.03</v>
      </c>
      <c r="S12" s="280">
        <f>'Grille tarifaire'!J69</f>
        <v>0.83</v>
      </c>
      <c r="T12" s="280">
        <f>'Grille tarifaire'!J70</f>
        <v>0.56999999999999995</v>
      </c>
      <c r="U12" s="280">
        <f>'Grille tarifaire'!J71</f>
        <v>0.43</v>
      </c>
      <c r="V12" s="280">
        <f>'Grille tarifaire'!J72</f>
        <v>0.27</v>
      </c>
    </row>
    <row r="13" spans="1:22" ht="15.75" thickBot="1" x14ac:dyDescent="0.3">
      <c r="A13" s="90"/>
      <c r="C13" s="6"/>
      <c r="D13" s="91"/>
      <c r="E13" s="91"/>
      <c r="F13" s="91"/>
      <c r="G13" s="91"/>
      <c r="H13" s="6"/>
      <c r="J13" s="6"/>
      <c r="K13" s="91"/>
      <c r="L13" s="91"/>
      <c r="M13" s="91"/>
      <c r="N13" s="91"/>
      <c r="O13" s="6"/>
      <c r="Q13" s="6"/>
      <c r="R13" s="91"/>
      <c r="S13" s="91"/>
      <c r="T13" s="91"/>
      <c r="U13" s="91"/>
      <c r="V13" s="6"/>
    </row>
    <row r="14" spans="1:22" ht="68.25" thickBot="1" x14ac:dyDescent="0.3">
      <c r="A14" s="711" t="s">
        <v>210</v>
      </c>
      <c r="C14" s="275" t="s">
        <v>178</v>
      </c>
      <c r="D14" s="280">
        <f>'Grille tarifaire'!K43</f>
        <v>8.16</v>
      </c>
      <c r="E14" s="280">
        <f>'Grille tarifaire'!K44</f>
        <v>8.0399999999999991</v>
      </c>
      <c r="F14" s="280">
        <f>'Grille tarifaire'!K45</f>
        <v>7.92</v>
      </c>
      <c r="G14" s="280">
        <f>'Grille tarifaire'!K46</f>
        <v>7.8</v>
      </c>
      <c r="H14" s="280">
        <f>'Grille tarifaire'!K47</f>
        <v>7.68</v>
      </c>
      <c r="J14" s="275" t="s">
        <v>178</v>
      </c>
      <c r="K14" s="280">
        <f>'Grille tarifaire'!K53</f>
        <v>13.559999999999999</v>
      </c>
      <c r="L14" s="280">
        <f>'Grille tarifaire'!K54</f>
        <v>13.32</v>
      </c>
      <c r="M14" s="280">
        <f>'Grille tarifaire'!K55</f>
        <v>12</v>
      </c>
      <c r="N14" s="280">
        <f>'Grille tarifaire'!K56</f>
        <v>10.44</v>
      </c>
      <c r="O14" s="280">
        <f>'Grille tarifaire'!K57</f>
        <v>8.76</v>
      </c>
      <c r="Q14" s="275" t="s">
        <v>178</v>
      </c>
      <c r="R14" s="280">
        <f>'Grille tarifaire'!K63</f>
        <v>35.4</v>
      </c>
      <c r="S14" s="280">
        <f>'Grille tarifaire'!K64</f>
        <v>33.839999999999996</v>
      </c>
      <c r="T14" s="280">
        <f>'Grille tarifaire'!K65</f>
        <v>26.88</v>
      </c>
      <c r="U14" s="280">
        <f>'Grille tarifaire'!K66</f>
        <v>18.48</v>
      </c>
      <c r="V14" s="280">
        <f>'Grille tarifaire'!K67</f>
        <v>12.48</v>
      </c>
    </row>
    <row r="15" spans="1:22" ht="54.75" thickBot="1" x14ac:dyDescent="0.3">
      <c r="A15" s="712"/>
      <c r="C15" s="277" t="s">
        <v>179</v>
      </c>
      <c r="D15" s="280">
        <f>'Grille tarifaire'!K48</f>
        <v>2.21</v>
      </c>
      <c r="E15" s="280">
        <f>'Grille tarifaire'!K49</f>
        <v>1.84</v>
      </c>
      <c r="F15" s="280">
        <f>'Grille tarifaire'!K50</f>
        <v>1.57</v>
      </c>
      <c r="G15" s="280">
        <f>'Grille tarifaire'!K51</f>
        <v>1.06</v>
      </c>
      <c r="H15" s="280">
        <f>'Grille tarifaire'!K52</f>
        <v>0.76</v>
      </c>
      <c r="J15" s="277" t="s">
        <v>179</v>
      </c>
      <c r="K15" s="280">
        <f>'Grille tarifaire'!K58</f>
        <v>1.68</v>
      </c>
      <c r="L15" s="280">
        <f>'Grille tarifaire'!K59</f>
        <v>1.46</v>
      </c>
      <c r="M15" s="280">
        <f>'Grille tarifaire'!K60</f>
        <v>1.19</v>
      </c>
      <c r="N15" s="280">
        <f>'Grille tarifaire'!K61</f>
        <v>0.8</v>
      </c>
      <c r="O15" s="280">
        <f>'Grille tarifaire'!K62</f>
        <v>0.59</v>
      </c>
      <c r="Q15" s="277" t="s">
        <v>179</v>
      </c>
      <c r="R15" s="280">
        <f>'Grille tarifaire'!K68</f>
        <v>0.89</v>
      </c>
      <c r="S15" s="280">
        <f>'Grille tarifaire'!K69</f>
        <v>0.77</v>
      </c>
      <c r="T15" s="280">
        <f>'Grille tarifaire'!K70</f>
        <v>0.57999999999999996</v>
      </c>
      <c r="U15" s="280">
        <f>'Grille tarifaire'!K71</f>
        <v>0.49</v>
      </c>
      <c r="V15" s="280">
        <f>'Grille tarifaire'!K72</f>
        <v>0.35</v>
      </c>
    </row>
    <row r="16" spans="1:22" ht="15.75" thickBot="1" x14ac:dyDescent="0.3">
      <c r="A16" s="89"/>
      <c r="C16" s="6"/>
      <c r="D16" s="91"/>
      <c r="E16" s="91"/>
      <c r="F16" s="91"/>
      <c r="G16" s="91"/>
      <c r="H16" s="6"/>
      <c r="J16" s="6"/>
      <c r="K16" s="91"/>
      <c r="L16" s="91"/>
      <c r="M16" s="91"/>
      <c r="N16" s="91"/>
      <c r="O16" s="6"/>
      <c r="Q16" s="6"/>
      <c r="R16" s="91"/>
      <c r="S16" s="91"/>
      <c r="T16" s="91"/>
      <c r="U16" s="91"/>
      <c r="V16" s="6"/>
    </row>
    <row r="17" spans="1:22" ht="68.25" thickBot="1" x14ac:dyDescent="0.3">
      <c r="A17" s="709" t="s">
        <v>212</v>
      </c>
      <c r="C17" s="275" t="s">
        <v>178</v>
      </c>
      <c r="D17" s="280">
        <f>'Grille tarifaire'!L43</f>
        <v>10.199999999999999</v>
      </c>
      <c r="E17" s="280">
        <f>'Grille tarifaire'!L44</f>
        <v>10.199999999999999</v>
      </c>
      <c r="F17" s="280">
        <f>'Grille tarifaire'!L45</f>
        <v>10.199999999999999</v>
      </c>
      <c r="G17" s="280">
        <f>'Grille tarifaire'!L46</f>
        <v>10.199999999999999</v>
      </c>
      <c r="H17" s="280">
        <f>'Grille tarifaire'!L47</f>
        <v>10.199999999999999</v>
      </c>
      <c r="J17" s="275" t="s">
        <v>178</v>
      </c>
      <c r="K17" s="280">
        <f>'Grille tarifaire'!L53</f>
        <v>11.879999999999999</v>
      </c>
      <c r="L17" s="280">
        <f>'Grille tarifaire'!L54</f>
        <v>11.639999999999999</v>
      </c>
      <c r="M17" s="280">
        <f>'Grille tarifaire'!L55</f>
        <v>11.04</v>
      </c>
      <c r="N17" s="280">
        <f>'Grille tarifaire'!L56</f>
        <v>10.68</v>
      </c>
      <c r="O17" s="280">
        <f>'Grille tarifaire'!L57</f>
        <v>10.32</v>
      </c>
      <c r="Q17" s="275" t="s">
        <v>178</v>
      </c>
      <c r="R17" s="280">
        <f>'Grille tarifaire'!L63</f>
        <v>36.96</v>
      </c>
      <c r="S17" s="280">
        <f>'Grille tarifaire'!L64</f>
        <v>34.199999999999996</v>
      </c>
      <c r="T17" s="280">
        <f>'Grille tarifaire'!L65</f>
        <v>27.959999999999997</v>
      </c>
      <c r="U17" s="280">
        <f>'Grille tarifaire'!L66</f>
        <v>18.84</v>
      </c>
      <c r="V17" s="280">
        <f>'Grille tarifaire'!L67</f>
        <v>13.799999999999999</v>
      </c>
    </row>
    <row r="18" spans="1:22" ht="54.75" thickBot="1" x14ac:dyDescent="0.3">
      <c r="A18" s="713"/>
      <c r="C18" s="277" t="s">
        <v>179</v>
      </c>
      <c r="D18" s="280">
        <f>'Grille tarifaire'!L48</f>
        <v>2.15</v>
      </c>
      <c r="E18" s="280">
        <f>'Grille tarifaire'!L49</f>
        <v>1.82</v>
      </c>
      <c r="F18" s="280">
        <f>'Grille tarifaire'!L50</f>
        <v>1.55</v>
      </c>
      <c r="G18" s="280">
        <f>'Grille tarifaire'!L51</f>
        <v>1</v>
      </c>
      <c r="H18" s="280">
        <f>'Grille tarifaire'!L52</f>
        <v>0.7</v>
      </c>
      <c r="J18" s="277" t="s">
        <v>179</v>
      </c>
      <c r="K18" s="280">
        <f>'Grille tarifaire'!L58</f>
        <v>1.65</v>
      </c>
      <c r="L18" s="280">
        <f>'Grille tarifaire'!L59</f>
        <v>1.49</v>
      </c>
      <c r="M18" s="280">
        <f>'Grille tarifaire'!L60</f>
        <v>1.33</v>
      </c>
      <c r="N18" s="280">
        <f>'Grille tarifaire'!L61</f>
        <v>0.87</v>
      </c>
      <c r="O18" s="280">
        <f>'Grille tarifaire'!L62</f>
        <v>0.66</v>
      </c>
      <c r="Q18" s="277" t="s">
        <v>179</v>
      </c>
      <c r="R18" s="280">
        <f>'Grille tarifaire'!L68</f>
        <v>0.69</v>
      </c>
      <c r="S18" s="280">
        <f>'Grille tarifaire'!L69</f>
        <v>0.67</v>
      </c>
      <c r="T18" s="280">
        <f>'Grille tarifaire'!L70</f>
        <v>0.56999999999999995</v>
      </c>
      <c r="U18" s="280">
        <f>'Grille tarifaire'!L71</f>
        <v>0.52</v>
      </c>
      <c r="V18" s="280">
        <f>'Grille tarifaire'!L72</f>
        <v>0.44</v>
      </c>
    </row>
    <row r="19" spans="1:22" x14ac:dyDescent="0.25">
      <c r="A19" s="88"/>
      <c r="O19" s="161"/>
      <c r="P19" s="161"/>
    </row>
  </sheetData>
  <mergeCells count="9">
    <mergeCell ref="A11:A12"/>
    <mergeCell ref="A14:A15"/>
    <mergeCell ref="A17:A18"/>
    <mergeCell ref="C2:R2"/>
    <mergeCell ref="C3:R3"/>
    <mergeCell ref="C5:H5"/>
    <mergeCell ref="J5:O5"/>
    <mergeCell ref="Q5:V5"/>
    <mergeCell ref="A8:A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sheetPr>
  <dimension ref="A1:P37"/>
  <sheetViews>
    <sheetView zoomScaleNormal="100" workbookViewId="0">
      <pane xSplit="1" ySplit="2" topLeftCell="B3" activePane="bottomRight" state="frozen"/>
      <selection pane="topRight" activeCell="B1" sqref="B1"/>
      <selection pane="bottomLeft" activeCell="A3" sqref="A3"/>
      <selection pane="bottomRight" activeCell="M14" sqref="M14:O19"/>
    </sheetView>
  </sheetViews>
  <sheetFormatPr baseColWidth="10" defaultColWidth="11.28515625" defaultRowHeight="15" x14ac:dyDescent="0.25"/>
  <cols>
    <col min="1" max="1" width="17.7109375" customWidth="1"/>
    <col min="2" max="2" width="4.140625" customWidth="1"/>
    <col min="3" max="6" width="20" customWidth="1"/>
    <col min="7" max="7" width="2.7109375" customWidth="1"/>
    <col min="8" max="9" width="20" customWidth="1"/>
    <col min="10" max="10" width="2.28515625" customWidth="1"/>
    <col min="11" max="11" width="18.7109375" customWidth="1"/>
    <col min="12" max="12" width="17" customWidth="1"/>
  </cols>
  <sheetData>
    <row r="1" spans="1:16" x14ac:dyDescent="0.25">
      <c r="C1" s="1" t="s">
        <v>0</v>
      </c>
      <c r="D1" s="1"/>
      <c r="E1" s="1"/>
      <c r="H1" s="1"/>
    </row>
    <row r="2" spans="1:16" ht="24" x14ac:dyDescent="0.25">
      <c r="C2" s="723" t="s">
        <v>184</v>
      </c>
      <c r="D2" s="723"/>
      <c r="E2" s="723"/>
      <c r="F2" s="723"/>
      <c r="G2" s="723"/>
      <c r="H2" s="723"/>
      <c r="I2" s="723"/>
      <c r="J2" s="723"/>
      <c r="K2" s="723"/>
    </row>
    <row r="4" spans="1:16" ht="45.95" customHeight="1" x14ac:dyDescent="0.25">
      <c r="C4" s="707" t="s">
        <v>240</v>
      </c>
      <c r="D4" s="708"/>
      <c r="E4" s="708"/>
      <c r="F4" s="708"/>
      <c r="H4" s="707" t="s">
        <v>241</v>
      </c>
      <c r="I4" s="708"/>
      <c r="K4" s="707" t="s">
        <v>242</v>
      </c>
      <c r="L4" s="708"/>
      <c r="M4" s="708"/>
      <c r="N4" s="708"/>
      <c r="O4" s="708"/>
    </row>
    <row r="5" spans="1:16" ht="15.75" customHeight="1" thickBot="1" x14ac:dyDescent="0.3">
      <c r="F5" s="61"/>
      <c r="I5" s="61"/>
      <c r="O5" s="61"/>
    </row>
    <row r="6" spans="1:16" ht="41.25" thickBot="1" x14ac:dyDescent="0.3">
      <c r="C6" s="200" t="s">
        <v>157</v>
      </c>
      <c r="D6" s="199" t="s">
        <v>185</v>
      </c>
      <c r="E6" s="770" t="s">
        <v>186</v>
      </c>
      <c r="F6" s="771"/>
      <c r="H6" s="63" t="s">
        <v>187</v>
      </c>
      <c r="I6" s="65" t="s">
        <v>188</v>
      </c>
      <c r="K6" s="63" t="s">
        <v>189</v>
      </c>
      <c r="L6" s="68" t="s">
        <v>190</v>
      </c>
      <c r="M6" s="68" t="s">
        <v>191</v>
      </c>
      <c r="N6" s="69" t="s">
        <v>192</v>
      </c>
      <c r="O6" s="65" t="s">
        <v>193</v>
      </c>
    </row>
    <row r="7" spans="1:16" x14ac:dyDescent="0.25">
      <c r="A7" s="708" t="s">
        <v>211</v>
      </c>
      <c r="C7" s="766" t="s">
        <v>123</v>
      </c>
      <c r="D7" s="762">
        <f>'Grille tarifaire'!I73</f>
        <v>106930.88</v>
      </c>
      <c r="E7" s="761">
        <f>'Grille tarifaire'!I74</f>
        <v>10135.99</v>
      </c>
      <c r="F7" s="762"/>
      <c r="H7" s="772" t="s">
        <v>125</v>
      </c>
      <c r="I7" s="774">
        <f>'Grille tarifaire'!I81</f>
        <v>1.55</v>
      </c>
      <c r="J7" s="233"/>
      <c r="K7" s="738" t="s">
        <v>123</v>
      </c>
      <c r="L7" s="739" t="s">
        <v>125</v>
      </c>
      <c r="M7" s="778">
        <f>'Grille tarifaire'!I83</f>
        <v>7.41</v>
      </c>
      <c r="N7" s="779">
        <f>'Grille tarifaire'!I84</f>
        <v>0.77</v>
      </c>
      <c r="O7" s="781">
        <f>'Grille tarifaire'!I85</f>
        <v>31.39</v>
      </c>
    </row>
    <row r="8" spans="1:16" ht="15.75" customHeight="1" thickBot="1" x14ac:dyDescent="0.3">
      <c r="A8" s="708"/>
      <c r="C8" s="745"/>
      <c r="D8" s="767"/>
      <c r="E8" s="763"/>
      <c r="F8" s="764"/>
      <c r="H8" s="773"/>
      <c r="I8" s="775"/>
      <c r="J8" s="233"/>
      <c r="K8" s="725"/>
      <c r="L8" s="718"/>
      <c r="M8" s="734"/>
      <c r="N8" s="780"/>
      <c r="O8" s="736"/>
      <c r="P8" s="226"/>
    </row>
    <row r="9" spans="1:16" ht="15.75" customHeight="1" thickBot="1" x14ac:dyDescent="0.3">
      <c r="A9" s="708"/>
      <c r="C9" s="737" t="s">
        <v>125</v>
      </c>
      <c r="D9" s="768">
        <f>'Grille tarifaire'!I75</f>
        <v>64488.15</v>
      </c>
      <c r="E9" s="62" t="s">
        <v>139</v>
      </c>
      <c r="F9" s="202">
        <f>'Grille tarifaire'!I76</f>
        <v>6462.01</v>
      </c>
      <c r="G9" s="233"/>
      <c r="H9" s="773"/>
      <c r="I9" s="776"/>
      <c r="J9" s="233"/>
      <c r="K9" s="725"/>
      <c r="L9" s="717" t="s">
        <v>126</v>
      </c>
      <c r="M9" s="733">
        <f>'Grille tarifaire'!I86</f>
        <v>5.45</v>
      </c>
      <c r="N9" s="783">
        <f>'Grille tarifaire'!I87</f>
        <v>1.31</v>
      </c>
      <c r="O9" s="785">
        <f>'Grille tarifaire'!I88</f>
        <v>23.25</v>
      </c>
      <c r="P9" s="226"/>
    </row>
    <row r="10" spans="1:16" ht="15.75" customHeight="1" thickBot="1" x14ac:dyDescent="0.3">
      <c r="A10" s="708"/>
      <c r="C10" s="745"/>
      <c r="D10" s="769"/>
      <c r="E10" s="64" t="s">
        <v>140</v>
      </c>
      <c r="F10" s="202">
        <f>'Grille tarifaire'!I77</f>
        <v>32308.87</v>
      </c>
      <c r="G10" s="233"/>
      <c r="H10" s="724" t="s">
        <v>126</v>
      </c>
      <c r="I10" s="777">
        <f>'Grille tarifaire'!I82</f>
        <v>2.98</v>
      </c>
      <c r="J10" s="233"/>
      <c r="K10" s="726"/>
      <c r="L10" s="730"/>
      <c r="M10" s="782"/>
      <c r="N10" s="784"/>
      <c r="O10" s="786"/>
      <c r="P10" s="226"/>
    </row>
    <row r="11" spans="1:16" ht="15.75" customHeight="1" thickBot="1" x14ac:dyDescent="0.3">
      <c r="A11" s="708"/>
      <c r="C11" s="737" t="s">
        <v>126</v>
      </c>
      <c r="D11" s="768">
        <f>'Grille tarifaire'!I78</f>
        <v>33496.46</v>
      </c>
      <c r="E11" s="64" t="s">
        <v>139</v>
      </c>
      <c r="F11" s="202">
        <f>'Grille tarifaire'!I79</f>
        <v>3834.42</v>
      </c>
      <c r="G11" s="233"/>
      <c r="H11" s="725"/>
      <c r="I11" s="775"/>
      <c r="J11" s="233"/>
      <c r="K11" s="724" t="s">
        <v>125</v>
      </c>
      <c r="L11" s="717" t="s">
        <v>126</v>
      </c>
      <c r="M11" s="733">
        <f>'Grille tarifaire'!I89</f>
        <v>1.59</v>
      </c>
      <c r="N11" s="733">
        <f>'Grille tarifaire'!I90</f>
        <v>1.31</v>
      </c>
      <c r="O11" s="735">
        <f>'Grille tarifaire'!I91</f>
        <v>6.98</v>
      </c>
      <c r="P11" s="226"/>
    </row>
    <row r="12" spans="1:16" ht="15.75" thickBot="1" x14ac:dyDescent="0.3">
      <c r="A12" s="708"/>
      <c r="C12" s="745"/>
      <c r="D12" s="769"/>
      <c r="E12" s="64" t="s">
        <v>140</v>
      </c>
      <c r="F12" s="203">
        <f>'Grille tarifaire'!I80</f>
        <v>7668.84</v>
      </c>
      <c r="G12" s="233"/>
      <c r="H12" s="726"/>
      <c r="I12" s="776"/>
      <c r="J12" s="233"/>
      <c r="K12" s="726"/>
      <c r="L12" s="718"/>
      <c r="M12" s="734"/>
      <c r="N12" s="734"/>
      <c r="O12" s="736"/>
      <c r="P12" s="226"/>
    </row>
    <row r="13" spans="1:16" ht="15.75" thickBot="1" x14ac:dyDescent="0.3">
      <c r="A13" s="88"/>
      <c r="C13" s="7"/>
      <c r="D13" s="7"/>
      <c r="E13" s="228"/>
      <c r="F13" s="201"/>
      <c r="H13" s="228"/>
      <c r="I13" s="6"/>
      <c r="K13" s="228"/>
      <c r="L13" s="228"/>
      <c r="M13" s="228"/>
      <c r="N13" s="228"/>
      <c r="O13" s="228"/>
    </row>
    <row r="14" spans="1:16" x14ac:dyDescent="0.25">
      <c r="A14" s="708" t="s">
        <v>209</v>
      </c>
      <c r="C14" s="731" t="s">
        <v>123</v>
      </c>
      <c r="D14" s="758">
        <f>'Grille tarifaire'!J73</f>
        <v>106920.19</v>
      </c>
      <c r="E14" s="765">
        <f>'Grille tarifaire'!J74</f>
        <v>10134.98</v>
      </c>
      <c r="F14" s="749"/>
      <c r="H14" s="773" t="s">
        <v>125</v>
      </c>
      <c r="I14" s="741">
        <f>'Grille tarifaire'!J81</f>
        <v>1.55</v>
      </c>
      <c r="K14" s="724" t="s">
        <v>123</v>
      </c>
      <c r="L14" s="727" t="s">
        <v>125</v>
      </c>
      <c r="M14" s="727">
        <f>'Grille tarifaire'!J83</f>
        <v>7.41</v>
      </c>
      <c r="N14" s="717">
        <f>'Grille tarifaire'!J84</f>
        <v>0.77</v>
      </c>
      <c r="O14" s="731">
        <f>'Grille tarifaire'!J85</f>
        <v>31.39</v>
      </c>
    </row>
    <row r="15" spans="1:16" ht="15.75" customHeight="1" thickBot="1" x14ac:dyDescent="0.3">
      <c r="A15" s="708"/>
      <c r="C15" s="745"/>
      <c r="D15" s="752"/>
      <c r="E15" s="750"/>
      <c r="F15" s="751"/>
      <c r="H15" s="773"/>
      <c r="I15" s="742"/>
      <c r="K15" s="725"/>
      <c r="L15" s="728"/>
      <c r="M15" s="728"/>
      <c r="N15" s="718"/>
      <c r="O15" s="732"/>
    </row>
    <row r="16" spans="1:16" ht="15.75" thickBot="1" x14ac:dyDescent="0.3">
      <c r="A16" s="708"/>
      <c r="C16" s="737" t="s">
        <v>125</v>
      </c>
      <c r="D16" s="746">
        <f>'Grille tarifaire'!J75</f>
        <v>64481.7</v>
      </c>
      <c r="E16" s="64" t="s">
        <v>139</v>
      </c>
      <c r="F16" s="208">
        <f>'Grille tarifaire'!J76</f>
        <v>6461.36</v>
      </c>
      <c r="H16" s="773"/>
      <c r="I16" s="743"/>
      <c r="K16" s="725"/>
      <c r="L16" s="727" t="s">
        <v>126</v>
      </c>
      <c r="M16" s="727">
        <f>'Grille tarifaire'!J86</f>
        <v>5.45</v>
      </c>
      <c r="N16" s="717">
        <f>'Grille tarifaire'!J87</f>
        <v>1.31</v>
      </c>
      <c r="O16" s="731">
        <f>'Grille tarifaire'!J88</f>
        <v>23.25</v>
      </c>
    </row>
    <row r="17" spans="1:15" ht="15.75" thickBot="1" x14ac:dyDescent="0.3">
      <c r="A17" s="708"/>
      <c r="C17" s="745"/>
      <c r="D17" s="752"/>
      <c r="E17" s="64" t="s">
        <v>140</v>
      </c>
      <c r="F17" s="204">
        <f>'Grille tarifaire'!J77</f>
        <v>32305.64</v>
      </c>
      <c r="H17" s="724" t="s">
        <v>126</v>
      </c>
      <c r="I17" s="731">
        <f>'Grille tarifaire'!J82</f>
        <v>2.98</v>
      </c>
      <c r="K17" s="726"/>
      <c r="L17" s="728"/>
      <c r="M17" s="728"/>
      <c r="N17" s="718"/>
      <c r="O17" s="732"/>
    </row>
    <row r="18" spans="1:15" ht="15.75" thickBot="1" x14ac:dyDescent="0.3">
      <c r="A18" s="708"/>
      <c r="C18" s="737" t="s">
        <v>126</v>
      </c>
      <c r="D18" s="746">
        <f>'Grille tarifaire'!J78</f>
        <v>33493.11</v>
      </c>
      <c r="E18" s="64" t="s">
        <v>139</v>
      </c>
      <c r="F18" s="204">
        <f>'Grille tarifaire'!J79</f>
        <v>3834.04</v>
      </c>
      <c r="H18" s="725"/>
      <c r="I18" s="737"/>
      <c r="K18" s="725" t="s">
        <v>125</v>
      </c>
      <c r="L18" s="740" t="s">
        <v>126</v>
      </c>
      <c r="M18" s="727">
        <f>'Grille tarifaire'!J89</f>
        <v>1.59</v>
      </c>
      <c r="N18" s="730">
        <f>'Grille tarifaire'!J90</f>
        <v>1.31</v>
      </c>
      <c r="O18" s="731">
        <f>'Grille tarifaire'!J91</f>
        <v>6.98</v>
      </c>
    </row>
    <row r="19" spans="1:15" ht="15.75" customHeight="1" thickBot="1" x14ac:dyDescent="0.3">
      <c r="A19" s="708"/>
      <c r="C19" s="745"/>
      <c r="D19" s="752"/>
      <c r="E19" s="64" t="s">
        <v>140</v>
      </c>
      <c r="F19" s="205">
        <f>'Grille tarifaire'!J80</f>
        <v>7668.07</v>
      </c>
      <c r="H19" s="726"/>
      <c r="I19" s="732"/>
      <c r="K19" s="726"/>
      <c r="L19" s="728"/>
      <c r="M19" s="728"/>
      <c r="N19" s="718"/>
      <c r="O19" s="732"/>
    </row>
    <row r="20" spans="1:15" ht="15.75" thickBot="1" x14ac:dyDescent="0.3">
      <c r="A20" s="90"/>
      <c r="C20" s="206"/>
      <c r="D20" s="206"/>
      <c r="E20" s="201"/>
      <c r="F20" s="201"/>
      <c r="H20" s="228"/>
      <c r="I20" s="6"/>
      <c r="K20" s="228"/>
      <c r="L20" s="228"/>
      <c r="M20" s="234"/>
      <c r="N20" s="234"/>
      <c r="O20" s="234"/>
    </row>
    <row r="21" spans="1:15" x14ac:dyDescent="0.25">
      <c r="A21" s="708" t="s">
        <v>210</v>
      </c>
      <c r="C21" s="744" t="s">
        <v>123</v>
      </c>
      <c r="D21" s="746">
        <f>'Grille tarifaire'!K73</f>
        <v>114073.86</v>
      </c>
      <c r="E21" s="748">
        <f>'Grille tarifaire'!K74</f>
        <v>10813.07</v>
      </c>
      <c r="F21" s="749"/>
      <c r="G21" s="5"/>
      <c r="H21" s="755" t="s">
        <v>125</v>
      </c>
      <c r="I21" s="741">
        <f>'Grille tarifaire'!K81</f>
        <v>1.65</v>
      </c>
      <c r="K21" s="724" t="s">
        <v>123</v>
      </c>
      <c r="L21" s="727" t="s">
        <v>125</v>
      </c>
      <c r="M21" s="717">
        <f>'Grille tarifaire'!K83</f>
        <v>7.9</v>
      </c>
      <c r="N21" s="729">
        <f>'Grille tarifaire'!K84</f>
        <v>0.82</v>
      </c>
      <c r="O21" s="721">
        <f>'Grille tarifaire'!K85</f>
        <v>33.49</v>
      </c>
    </row>
    <row r="22" spans="1:15" ht="15.75" customHeight="1" thickBot="1" x14ac:dyDescent="0.3">
      <c r="A22" s="708"/>
      <c r="C22" s="745"/>
      <c r="D22" s="747"/>
      <c r="E22" s="750"/>
      <c r="F22" s="751"/>
      <c r="G22" s="5"/>
      <c r="H22" s="756"/>
      <c r="I22" s="742"/>
      <c r="K22" s="725"/>
      <c r="L22" s="728"/>
      <c r="M22" s="718"/>
      <c r="N22" s="720"/>
      <c r="O22" s="722"/>
    </row>
    <row r="23" spans="1:15" ht="15.75" thickBot="1" x14ac:dyDescent="0.3">
      <c r="A23" s="708"/>
      <c r="C23" s="744" t="s">
        <v>125</v>
      </c>
      <c r="D23" s="758">
        <f>'Grille tarifaire'!K75</f>
        <v>68795.960000000006</v>
      </c>
      <c r="E23" s="64" t="s">
        <v>139</v>
      </c>
      <c r="F23" s="209">
        <f>'Grille tarifaire'!K76</f>
        <v>6893.67</v>
      </c>
      <c r="G23" s="5"/>
      <c r="H23" s="756"/>
      <c r="I23" s="743"/>
      <c r="K23" s="725"/>
      <c r="L23" s="727" t="s">
        <v>126</v>
      </c>
      <c r="M23" s="717">
        <f>'Grille tarifaire'!K86</f>
        <v>5.81</v>
      </c>
      <c r="N23" s="729">
        <f>'Grille tarifaire'!K87</f>
        <v>1.4</v>
      </c>
      <c r="O23" s="721">
        <f>'Grille tarifaire'!K88</f>
        <v>24.8</v>
      </c>
    </row>
    <row r="24" spans="1:15" ht="15.75" thickBot="1" x14ac:dyDescent="0.3">
      <c r="A24" s="708"/>
      <c r="C24" s="745"/>
      <c r="D24" s="752"/>
      <c r="E24" s="64" t="s">
        <v>140</v>
      </c>
      <c r="F24" s="204">
        <f>'Grille tarifaire'!K77</f>
        <v>34467.1</v>
      </c>
      <c r="G24" s="5"/>
      <c r="H24" s="755" t="s">
        <v>126</v>
      </c>
      <c r="I24" s="731">
        <f>'Grille tarifaire'!K82</f>
        <v>3.18</v>
      </c>
      <c r="K24" s="726"/>
      <c r="L24" s="728"/>
      <c r="M24" s="718"/>
      <c r="N24" s="720"/>
      <c r="O24" s="722"/>
    </row>
    <row r="25" spans="1:15" ht="15.75" thickBot="1" x14ac:dyDescent="0.3">
      <c r="A25" s="708"/>
      <c r="C25" s="737" t="s">
        <v>126</v>
      </c>
      <c r="D25" s="746">
        <f>'Grille tarifaire'!K78</f>
        <v>35734.019999999997</v>
      </c>
      <c r="E25" s="64" t="s">
        <v>139</v>
      </c>
      <c r="F25" s="204">
        <f>'Grille tarifaire'!K79</f>
        <v>4090.56</v>
      </c>
      <c r="G25" s="5"/>
      <c r="H25" s="756"/>
      <c r="I25" s="737"/>
      <c r="K25" s="725" t="s">
        <v>125</v>
      </c>
      <c r="L25" s="727" t="s">
        <v>126</v>
      </c>
      <c r="M25" s="717">
        <f>'Grille tarifaire'!K89</f>
        <v>1.7</v>
      </c>
      <c r="N25" s="719">
        <f>'Grille tarifaire'!K90</f>
        <v>1.4</v>
      </c>
      <c r="O25" s="721">
        <f>'Grille tarifaire'!K91</f>
        <v>7.45</v>
      </c>
    </row>
    <row r="26" spans="1:15" ht="15.75" thickBot="1" x14ac:dyDescent="0.3">
      <c r="A26" s="712"/>
      <c r="C26" s="745"/>
      <c r="D26" s="752"/>
      <c r="E26" s="64" t="s">
        <v>140</v>
      </c>
      <c r="F26" s="205">
        <f>'Grille tarifaire'!K80</f>
        <v>8181.12</v>
      </c>
      <c r="G26" s="5"/>
      <c r="H26" s="757"/>
      <c r="I26" s="732"/>
      <c r="K26" s="726"/>
      <c r="L26" s="728"/>
      <c r="M26" s="718"/>
      <c r="N26" s="720"/>
      <c r="O26" s="722"/>
    </row>
    <row r="27" spans="1:15" ht="15.75" customHeight="1" thickBot="1" x14ac:dyDescent="0.3">
      <c r="A27" s="89"/>
      <c r="C27" s="206"/>
      <c r="D27" s="206"/>
      <c r="E27" s="201"/>
      <c r="F27" s="201"/>
      <c r="G27" s="5"/>
      <c r="H27" s="228"/>
      <c r="I27" s="228"/>
      <c r="K27" s="228"/>
      <c r="L27" s="228"/>
      <c r="M27" s="234"/>
      <c r="N27" s="234"/>
      <c r="O27" s="234"/>
    </row>
    <row r="28" spans="1:15" ht="15.75" customHeight="1" x14ac:dyDescent="0.25">
      <c r="A28" s="709" t="s">
        <v>212</v>
      </c>
      <c r="B28" s="232"/>
      <c r="C28" s="744" t="s">
        <v>123</v>
      </c>
      <c r="D28" s="746">
        <f>'Grille tarifaire'!L73</f>
        <v>116918.22</v>
      </c>
      <c r="E28" s="753">
        <f>'Grille tarifaire'!L74</f>
        <v>11082.69</v>
      </c>
      <c r="F28" s="749"/>
      <c r="G28" s="5"/>
      <c r="H28" s="724" t="s">
        <v>125</v>
      </c>
      <c r="I28" s="731">
        <f>'Grille tarifaire'!L81</f>
        <v>1.69</v>
      </c>
      <c r="K28" s="724" t="s">
        <v>123</v>
      </c>
      <c r="L28" s="727" t="s">
        <v>125</v>
      </c>
      <c r="M28" s="717">
        <f>'Grille tarifaire'!L83</f>
        <v>8.1</v>
      </c>
      <c r="N28" s="729">
        <f>'Grille tarifaire'!L84</f>
        <v>0.84</v>
      </c>
      <c r="O28" s="721">
        <f>'Grille tarifaire'!L85</f>
        <v>34.32</v>
      </c>
    </row>
    <row r="29" spans="1:15" ht="15.75" customHeight="1" thickBot="1" x14ac:dyDescent="0.3">
      <c r="A29" s="710"/>
      <c r="B29" s="230"/>
      <c r="C29" s="745"/>
      <c r="D29" s="752"/>
      <c r="E29" s="754"/>
      <c r="F29" s="751"/>
      <c r="G29" s="5"/>
      <c r="H29" s="725"/>
      <c r="I29" s="737"/>
      <c r="K29" s="725"/>
      <c r="L29" s="728"/>
      <c r="M29" s="718"/>
      <c r="N29" s="720"/>
      <c r="O29" s="722"/>
    </row>
    <row r="30" spans="1:15" ht="15.75" thickBot="1" x14ac:dyDescent="0.3">
      <c r="A30" s="710"/>
      <c r="B30" s="230"/>
      <c r="C30" s="759" t="s">
        <v>125</v>
      </c>
      <c r="D30" s="746">
        <f>'Grille tarifaire'!L75</f>
        <v>70511.34</v>
      </c>
      <c r="E30" s="64" t="s">
        <v>139</v>
      </c>
      <c r="F30" s="204">
        <f>'Grille tarifaire'!L76</f>
        <v>7065.56</v>
      </c>
      <c r="G30" s="5"/>
      <c r="H30" s="726"/>
      <c r="I30" s="732"/>
      <c r="K30" s="725"/>
      <c r="L30" s="727" t="s">
        <v>126</v>
      </c>
      <c r="M30" s="717">
        <f>'Grille tarifaire'!L86</f>
        <v>5.96</v>
      </c>
      <c r="N30" s="729">
        <f>'Grille tarifaire'!L87</f>
        <v>1.43</v>
      </c>
      <c r="O30" s="721">
        <f>'Grille tarifaire'!L88</f>
        <v>25.42</v>
      </c>
    </row>
    <row r="31" spans="1:15" ht="15.75" thickBot="1" x14ac:dyDescent="0.3">
      <c r="A31" s="710"/>
      <c r="B31" s="230"/>
      <c r="C31" s="760"/>
      <c r="D31" s="752"/>
      <c r="E31" s="64" t="s">
        <v>140</v>
      </c>
      <c r="F31" s="204">
        <f>'Grille tarifaire'!L77</f>
        <v>35326.519999999997</v>
      </c>
      <c r="G31" s="5"/>
      <c r="H31" s="724" t="s">
        <v>126</v>
      </c>
      <c r="I31" s="731">
        <f>'Grille tarifaire'!L82</f>
        <v>3.26</v>
      </c>
      <c r="K31" s="726"/>
      <c r="L31" s="728"/>
      <c r="M31" s="718"/>
      <c r="N31" s="720"/>
      <c r="O31" s="722"/>
    </row>
    <row r="32" spans="1:15" ht="15.75" thickBot="1" x14ac:dyDescent="0.3">
      <c r="A32" s="710"/>
      <c r="B32" s="230"/>
      <c r="C32" s="744" t="s">
        <v>126</v>
      </c>
      <c r="D32" s="746">
        <f>'Grille tarifaire'!L78</f>
        <v>36625.03</v>
      </c>
      <c r="E32" s="64" t="s">
        <v>139</v>
      </c>
      <c r="F32" s="204">
        <f>'Grille tarifaire'!L79</f>
        <v>4192.55</v>
      </c>
      <c r="G32" s="5"/>
      <c r="H32" s="725"/>
      <c r="I32" s="737"/>
      <c r="K32" s="724" t="s">
        <v>125</v>
      </c>
      <c r="L32" s="727" t="s">
        <v>126</v>
      </c>
      <c r="M32" s="717">
        <f>'Grille tarifaire'!L89</f>
        <v>1.74</v>
      </c>
      <c r="N32" s="719">
        <f>'Grille tarifaire'!L90</f>
        <v>1.43</v>
      </c>
      <c r="O32" s="721">
        <f>'Grille tarifaire'!L91</f>
        <v>7.63</v>
      </c>
    </row>
    <row r="33" spans="1:15" ht="15.75" thickBot="1" x14ac:dyDescent="0.3">
      <c r="A33" s="713"/>
      <c r="B33" s="230"/>
      <c r="C33" s="745"/>
      <c r="D33" s="752"/>
      <c r="E33" s="64" t="s">
        <v>140</v>
      </c>
      <c r="F33" s="205">
        <f>'Grille tarifaire'!L80</f>
        <v>8385.11</v>
      </c>
      <c r="G33" s="5"/>
      <c r="H33" s="726"/>
      <c r="I33" s="732"/>
      <c r="K33" s="726"/>
      <c r="L33" s="728"/>
      <c r="M33" s="718"/>
      <c r="N33" s="720"/>
      <c r="O33" s="722"/>
    </row>
    <row r="34" spans="1:15" x14ac:dyDescent="0.25">
      <c r="H34" s="6"/>
      <c r="K34" s="6"/>
      <c r="L34" s="6"/>
    </row>
    <row r="35" spans="1:15" ht="15" customHeight="1" x14ac:dyDescent="0.25">
      <c r="A35" s="88"/>
    </row>
    <row r="36" spans="1:15" x14ac:dyDescent="0.25">
      <c r="A36" s="88"/>
    </row>
    <row r="37" spans="1:15" x14ac:dyDescent="0.25">
      <c r="A37" s="88"/>
    </row>
  </sheetData>
  <mergeCells count="109">
    <mergeCell ref="E6:F6"/>
    <mergeCell ref="H4:I4"/>
    <mergeCell ref="K4:O4"/>
    <mergeCell ref="C4:F4"/>
    <mergeCell ref="C9:C10"/>
    <mergeCell ref="C11:C12"/>
    <mergeCell ref="C16:C17"/>
    <mergeCell ref="C18:C19"/>
    <mergeCell ref="C23:C24"/>
    <mergeCell ref="H7:H9"/>
    <mergeCell ref="H10:H12"/>
    <mergeCell ref="I7:I9"/>
    <mergeCell ref="I10:I12"/>
    <mergeCell ref="H14:H16"/>
    <mergeCell ref="I14:I16"/>
    <mergeCell ref="M7:M8"/>
    <mergeCell ref="N7:N8"/>
    <mergeCell ref="O7:O8"/>
    <mergeCell ref="M9:M10"/>
    <mergeCell ref="N9:N10"/>
    <mergeCell ref="O9:O10"/>
    <mergeCell ref="H17:H19"/>
    <mergeCell ref="M23:M24"/>
    <mergeCell ref="N23:N24"/>
    <mergeCell ref="A7:A12"/>
    <mergeCell ref="E7:F8"/>
    <mergeCell ref="A14:A19"/>
    <mergeCell ref="C14:C15"/>
    <mergeCell ref="D14:D15"/>
    <mergeCell ref="E14:F15"/>
    <mergeCell ref="C7:C8"/>
    <mergeCell ref="D7:D8"/>
    <mergeCell ref="D18:D19"/>
    <mergeCell ref="D9:D10"/>
    <mergeCell ref="D11:D12"/>
    <mergeCell ref="D16:D17"/>
    <mergeCell ref="A21:A26"/>
    <mergeCell ref="A28:A33"/>
    <mergeCell ref="C21:C22"/>
    <mergeCell ref="D21:D22"/>
    <mergeCell ref="E21:F22"/>
    <mergeCell ref="C28:C29"/>
    <mergeCell ref="D28:D29"/>
    <mergeCell ref="E28:F29"/>
    <mergeCell ref="H21:H23"/>
    <mergeCell ref="H24:H26"/>
    <mergeCell ref="H28:H30"/>
    <mergeCell ref="D30:D31"/>
    <mergeCell ref="D32:D33"/>
    <mergeCell ref="D23:D24"/>
    <mergeCell ref="D25:D26"/>
    <mergeCell ref="C25:C26"/>
    <mergeCell ref="C30:C31"/>
    <mergeCell ref="C32:C33"/>
    <mergeCell ref="H31:H33"/>
    <mergeCell ref="I31:I33"/>
    <mergeCell ref="K7:K10"/>
    <mergeCell ref="K11:K12"/>
    <mergeCell ref="L7:L8"/>
    <mergeCell ref="L9:L10"/>
    <mergeCell ref="L11:L12"/>
    <mergeCell ref="K18:K19"/>
    <mergeCell ref="L18:L19"/>
    <mergeCell ref="K25:K26"/>
    <mergeCell ref="L25:L26"/>
    <mergeCell ref="K32:K33"/>
    <mergeCell ref="L32:L33"/>
    <mergeCell ref="I17:I19"/>
    <mergeCell ref="I21:I23"/>
    <mergeCell ref="I24:I26"/>
    <mergeCell ref="I28:I30"/>
    <mergeCell ref="L23:L24"/>
    <mergeCell ref="O23:O24"/>
    <mergeCell ref="M11:M12"/>
    <mergeCell ref="N11:N12"/>
    <mergeCell ref="O11:O12"/>
    <mergeCell ref="K14:K17"/>
    <mergeCell ref="L14:L15"/>
    <mergeCell ref="M14:M15"/>
    <mergeCell ref="N14:N15"/>
    <mergeCell ref="O14:O15"/>
    <mergeCell ref="L16:L17"/>
    <mergeCell ref="M16:M17"/>
    <mergeCell ref="N16:N17"/>
    <mergeCell ref="O16:O17"/>
    <mergeCell ref="M32:M33"/>
    <mergeCell ref="N32:N33"/>
    <mergeCell ref="O32:O33"/>
    <mergeCell ref="C2:K2"/>
    <mergeCell ref="M25:M26"/>
    <mergeCell ref="N25:N26"/>
    <mergeCell ref="O25:O26"/>
    <mergeCell ref="K28:K31"/>
    <mergeCell ref="L28:L29"/>
    <mergeCell ref="M28:M29"/>
    <mergeCell ref="N28:N29"/>
    <mergeCell ref="O28:O29"/>
    <mergeCell ref="L30:L31"/>
    <mergeCell ref="M30:M31"/>
    <mergeCell ref="N30:N31"/>
    <mergeCell ref="O30:O31"/>
    <mergeCell ref="M18:M19"/>
    <mergeCell ref="N18:N19"/>
    <mergeCell ref="O18:O19"/>
    <mergeCell ref="K21:K24"/>
    <mergeCell ref="L21:L22"/>
    <mergeCell ref="M21:M22"/>
    <mergeCell ref="N21:N22"/>
    <mergeCell ref="O21:O2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sheetPr>
  <dimension ref="A1:F34"/>
  <sheetViews>
    <sheetView workbookViewId="0">
      <selection activeCell="D23" sqref="D23"/>
    </sheetView>
  </sheetViews>
  <sheetFormatPr baseColWidth="10" defaultColWidth="11.28515625" defaultRowHeight="15" x14ac:dyDescent="0.25"/>
  <cols>
    <col min="1" max="1" width="17.7109375" customWidth="1"/>
    <col min="2" max="2" width="4.140625" customWidth="1"/>
    <col min="3" max="5" width="20" customWidth="1"/>
  </cols>
  <sheetData>
    <row r="1" spans="1:6" x14ac:dyDescent="0.25">
      <c r="C1" s="1" t="s">
        <v>0</v>
      </c>
      <c r="F1" s="1"/>
    </row>
    <row r="2" spans="1:6" ht="24" x14ac:dyDescent="0.25">
      <c r="C2" s="723" t="s">
        <v>194</v>
      </c>
      <c r="D2" s="723"/>
      <c r="E2" s="723"/>
      <c r="F2" s="3"/>
    </row>
    <row r="4" spans="1:6" ht="41.25" customHeight="1" x14ac:dyDescent="0.25">
      <c r="C4" s="708" t="s">
        <v>243</v>
      </c>
      <c r="D4" s="708"/>
      <c r="E4" s="708"/>
    </row>
    <row r="5" spans="1:6" ht="15.75" thickBot="1" x14ac:dyDescent="0.3"/>
    <row r="6" spans="1:6" ht="27.75" thickBot="1" x14ac:dyDescent="0.3">
      <c r="C6" s="200" t="s">
        <v>187</v>
      </c>
      <c r="D6" s="770" t="s">
        <v>195</v>
      </c>
      <c r="E6" s="771"/>
    </row>
    <row r="7" spans="1:6" x14ac:dyDescent="0.25">
      <c r="A7" s="709" t="s">
        <v>211</v>
      </c>
      <c r="B7" s="230"/>
      <c r="C7" s="766" t="s">
        <v>123</v>
      </c>
      <c r="D7" s="761">
        <f>'Grille tarifaire'!I92</f>
        <v>5.81</v>
      </c>
      <c r="E7" s="792"/>
    </row>
    <row r="8" spans="1:6" ht="15.75" thickBot="1" x14ac:dyDescent="0.3">
      <c r="A8" s="710"/>
      <c r="B8" s="230"/>
      <c r="C8" s="745"/>
      <c r="D8" s="763"/>
      <c r="E8" s="793"/>
    </row>
    <row r="9" spans="1:6" ht="15.75" thickBot="1" x14ac:dyDescent="0.3">
      <c r="A9" s="710"/>
      <c r="B9" s="230"/>
      <c r="C9" s="737" t="s">
        <v>125</v>
      </c>
      <c r="D9" s="62" t="s">
        <v>139</v>
      </c>
      <c r="E9" s="202">
        <f>'Grille tarifaire'!I93</f>
        <v>15.12</v>
      </c>
    </row>
    <row r="10" spans="1:6" ht="15.75" thickBot="1" x14ac:dyDescent="0.3">
      <c r="A10" s="710"/>
      <c r="B10" s="230"/>
      <c r="C10" s="745"/>
      <c r="D10" s="64" t="s">
        <v>140</v>
      </c>
      <c r="E10" s="202">
        <f>'Grille tarifaire'!I94</f>
        <v>58.12</v>
      </c>
    </row>
    <row r="11" spans="1:6" ht="15.75" thickBot="1" x14ac:dyDescent="0.3">
      <c r="A11" s="710"/>
      <c r="B11" s="230"/>
      <c r="C11" s="737" t="s">
        <v>126</v>
      </c>
      <c r="D11" s="64" t="s">
        <v>139</v>
      </c>
      <c r="E11" s="202">
        <f>'Grille tarifaire'!I95</f>
        <v>76.73</v>
      </c>
    </row>
    <row r="12" spans="1:6" ht="15.75" thickBot="1" x14ac:dyDescent="0.3">
      <c r="A12" s="710"/>
      <c r="B12" s="230"/>
      <c r="C12" s="745"/>
      <c r="D12" s="64" t="s">
        <v>140</v>
      </c>
      <c r="E12" s="203">
        <f>'Grille tarifaire'!I96</f>
        <v>134.86000000000001</v>
      </c>
    </row>
    <row r="13" spans="1:6" ht="15.75" thickBot="1" x14ac:dyDescent="0.3">
      <c r="A13" s="88"/>
      <c r="C13" s="6"/>
      <c r="D13" s="6"/>
      <c r="E13" s="6"/>
    </row>
    <row r="14" spans="1:6" ht="15.75" customHeight="1" x14ac:dyDescent="0.25">
      <c r="A14" s="709" t="s">
        <v>209</v>
      </c>
      <c r="C14" s="731" t="s">
        <v>123</v>
      </c>
      <c r="D14" s="787">
        <f>'Grille tarifaire'!J92</f>
        <v>5.81</v>
      </c>
      <c r="E14" s="788"/>
    </row>
    <row r="15" spans="1:6" ht="15.75" thickBot="1" x14ac:dyDescent="0.3">
      <c r="A15" s="710"/>
      <c r="C15" s="732"/>
      <c r="D15" s="750"/>
      <c r="E15" s="789"/>
    </row>
    <row r="16" spans="1:6" ht="15.75" thickBot="1" x14ac:dyDescent="0.3">
      <c r="A16" s="710"/>
      <c r="C16" s="731" t="s">
        <v>125</v>
      </c>
      <c r="D16" s="62" t="s">
        <v>139</v>
      </c>
      <c r="E16" s="205">
        <f>'Grille tarifaire'!J93</f>
        <v>15.12</v>
      </c>
    </row>
    <row r="17" spans="1:5" ht="15.75" customHeight="1" thickBot="1" x14ac:dyDescent="0.3">
      <c r="A17" s="710"/>
      <c r="C17" s="732"/>
      <c r="D17" s="62" t="s">
        <v>140</v>
      </c>
      <c r="E17" s="205">
        <f>'Grille tarifaire'!J94</f>
        <v>58.11</v>
      </c>
    </row>
    <row r="18" spans="1:5" ht="15.75" thickBot="1" x14ac:dyDescent="0.3">
      <c r="A18" s="710"/>
      <c r="B18" s="230"/>
      <c r="C18" s="790" t="s">
        <v>126</v>
      </c>
      <c r="D18" s="64" t="s">
        <v>139</v>
      </c>
      <c r="E18" s="204">
        <f>'Grille tarifaire'!J95</f>
        <v>76.72</v>
      </c>
    </row>
    <row r="19" spans="1:5" ht="15.75" thickBot="1" x14ac:dyDescent="0.3">
      <c r="A19" s="710"/>
      <c r="B19" s="230"/>
      <c r="C19" s="791"/>
      <c r="D19" s="62" t="s">
        <v>140</v>
      </c>
      <c r="E19" s="205">
        <f>'Grille tarifaire'!J96</f>
        <v>134.85</v>
      </c>
    </row>
    <row r="20" spans="1:5" ht="15.75" customHeight="1" thickBot="1" x14ac:dyDescent="0.3">
      <c r="A20" s="88" t="s">
        <v>212</v>
      </c>
      <c r="C20" s="285"/>
      <c r="D20" s="228"/>
      <c r="E20" s="228"/>
    </row>
    <row r="21" spans="1:5" x14ac:dyDescent="0.25">
      <c r="A21" s="710" t="s">
        <v>210</v>
      </c>
      <c r="C21" s="737" t="s">
        <v>123</v>
      </c>
      <c r="D21" s="787">
        <f>'Grille tarifaire'!K92</f>
        <v>6.2</v>
      </c>
      <c r="E21" s="788"/>
    </row>
    <row r="22" spans="1:5" ht="15.75" thickBot="1" x14ac:dyDescent="0.3">
      <c r="A22" s="710"/>
      <c r="C22" s="745"/>
      <c r="D22" s="750"/>
      <c r="E22" s="789"/>
    </row>
    <row r="23" spans="1:5" ht="15.75" thickBot="1" x14ac:dyDescent="0.3">
      <c r="A23" s="710"/>
      <c r="C23" s="737" t="s">
        <v>125</v>
      </c>
      <c r="D23" s="64" t="s">
        <v>139</v>
      </c>
      <c r="E23" s="205">
        <f>'Grille tarifaire'!K93</f>
        <v>16.13</v>
      </c>
    </row>
    <row r="24" spans="1:5" ht="15.75" thickBot="1" x14ac:dyDescent="0.3">
      <c r="A24" s="710"/>
      <c r="C24" s="745"/>
      <c r="D24" s="64" t="s">
        <v>140</v>
      </c>
      <c r="E24" s="204">
        <f>'Grille tarifaire'!K94</f>
        <v>62</v>
      </c>
    </row>
    <row r="25" spans="1:5" ht="15.75" thickBot="1" x14ac:dyDescent="0.3">
      <c r="A25" s="710"/>
      <c r="C25" s="737" t="s">
        <v>126</v>
      </c>
      <c r="D25" s="64" t="s">
        <v>139</v>
      </c>
      <c r="E25" s="204">
        <f>'Grille tarifaire'!K95</f>
        <v>81.86</v>
      </c>
    </row>
    <row r="26" spans="1:5" ht="15.75" thickBot="1" x14ac:dyDescent="0.3">
      <c r="A26" s="710"/>
      <c r="C26" s="745"/>
      <c r="D26" s="64" t="s">
        <v>140</v>
      </c>
      <c r="E26" s="205">
        <f>'Grille tarifaire'!K96</f>
        <v>143.87</v>
      </c>
    </row>
    <row r="27" spans="1:5" ht="15.75" thickBot="1" x14ac:dyDescent="0.3"/>
    <row r="28" spans="1:5" x14ac:dyDescent="0.25">
      <c r="A28" s="709" t="s">
        <v>212</v>
      </c>
      <c r="C28" s="731" t="s">
        <v>123</v>
      </c>
      <c r="D28" s="787">
        <f>'Grille tarifaire'!L92</f>
        <v>6.35</v>
      </c>
      <c r="E28" s="788"/>
    </row>
    <row r="29" spans="1:5" ht="15.75" thickBot="1" x14ac:dyDescent="0.3">
      <c r="A29" s="710"/>
      <c r="C29" s="745"/>
      <c r="D29" s="750"/>
      <c r="E29" s="789"/>
    </row>
    <row r="30" spans="1:5" ht="15.75" thickBot="1" x14ac:dyDescent="0.3">
      <c r="A30" s="710"/>
      <c r="C30" s="744" t="s">
        <v>125</v>
      </c>
      <c r="D30" s="62" t="s">
        <v>139</v>
      </c>
      <c r="E30" s="205">
        <f>'Grille tarifaire'!L93</f>
        <v>16.53</v>
      </c>
    </row>
    <row r="31" spans="1:5" ht="15.75" thickBot="1" x14ac:dyDescent="0.3">
      <c r="A31" s="710"/>
      <c r="C31" s="732"/>
      <c r="D31" s="64" t="s">
        <v>140</v>
      </c>
      <c r="E31" s="205">
        <f>'Grille tarifaire'!L94</f>
        <v>63.55</v>
      </c>
    </row>
    <row r="32" spans="1:5" ht="15.75" thickBot="1" x14ac:dyDescent="0.3">
      <c r="A32" s="710"/>
      <c r="C32" s="731" t="s">
        <v>126</v>
      </c>
      <c r="D32" s="62" t="s">
        <v>139</v>
      </c>
      <c r="E32" s="205">
        <f>'Grille tarifaire'!L95</f>
        <v>83.9</v>
      </c>
    </row>
    <row r="33" spans="1:5" ht="15.75" thickBot="1" x14ac:dyDescent="0.3">
      <c r="A33" s="710"/>
      <c r="B33" s="230"/>
      <c r="C33" s="732"/>
      <c r="D33" s="64" t="s">
        <v>140</v>
      </c>
      <c r="E33" s="205">
        <f>'Grille tarifaire'!L96</f>
        <v>147.46</v>
      </c>
    </row>
    <row r="34" spans="1:5" x14ac:dyDescent="0.25">
      <c r="D34" s="6"/>
      <c r="E34" s="6"/>
    </row>
  </sheetData>
  <mergeCells count="23">
    <mergeCell ref="A21:A26"/>
    <mergeCell ref="C21:C22"/>
    <mergeCell ref="C7:C8"/>
    <mergeCell ref="D7:E8"/>
    <mergeCell ref="C9:C10"/>
    <mergeCell ref="A7:A12"/>
    <mergeCell ref="C11:C12"/>
    <mergeCell ref="C2:E2"/>
    <mergeCell ref="D21:E22"/>
    <mergeCell ref="C23:C24"/>
    <mergeCell ref="C25:C26"/>
    <mergeCell ref="A28:A33"/>
    <mergeCell ref="C28:C29"/>
    <mergeCell ref="D28:E29"/>
    <mergeCell ref="C30:C31"/>
    <mergeCell ref="C32:C33"/>
    <mergeCell ref="C4:E4"/>
    <mergeCell ref="A14:A19"/>
    <mergeCell ref="C14:C15"/>
    <mergeCell ref="D14:E15"/>
    <mergeCell ref="C16:C17"/>
    <mergeCell ref="C18:C19"/>
    <mergeCell ref="D6:E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sheetPr>
  <dimension ref="A1:K26"/>
  <sheetViews>
    <sheetView workbookViewId="0">
      <selection activeCell="E15" sqref="E15:E17"/>
    </sheetView>
  </sheetViews>
  <sheetFormatPr baseColWidth="10" defaultColWidth="11.28515625" defaultRowHeight="15" x14ac:dyDescent="0.25"/>
  <cols>
    <col min="1" max="1" width="17.7109375" customWidth="1"/>
    <col min="2" max="2" width="3" customWidth="1"/>
    <col min="3" max="4" width="26.28515625" customWidth="1"/>
    <col min="5" max="5" width="11.85546875" bestFit="1" customWidth="1"/>
  </cols>
  <sheetData>
    <row r="1" spans="1:11" x14ac:dyDescent="0.25">
      <c r="C1" s="1" t="s">
        <v>0</v>
      </c>
      <c r="D1" s="1"/>
    </row>
    <row r="2" spans="1:11" ht="24" x14ac:dyDescent="0.25">
      <c r="C2" s="723" t="s">
        <v>196</v>
      </c>
      <c r="D2" s="723"/>
      <c r="E2" s="723"/>
      <c r="F2" s="723"/>
      <c r="G2" s="723"/>
      <c r="H2" s="723"/>
      <c r="I2" s="723"/>
      <c r="J2" s="723"/>
      <c r="K2" s="723"/>
    </row>
    <row r="4" spans="1:11" ht="36" customHeight="1" x14ac:dyDescent="0.25">
      <c r="C4" s="707" t="s">
        <v>244</v>
      </c>
      <c r="D4" s="708"/>
      <c r="E4" s="708"/>
    </row>
    <row r="5" spans="1:11" ht="15.75" thickBot="1" x14ac:dyDescent="0.3"/>
    <row r="6" spans="1:11" ht="27.75" thickBot="1" x14ac:dyDescent="0.3">
      <c r="C6" s="87" t="s">
        <v>197</v>
      </c>
      <c r="D6" s="94" t="s">
        <v>198</v>
      </c>
      <c r="E6" s="68" t="s">
        <v>199</v>
      </c>
    </row>
    <row r="7" spans="1:11" ht="15.75" thickBot="1" x14ac:dyDescent="0.3">
      <c r="A7" s="708" t="s">
        <v>211</v>
      </c>
      <c r="B7" s="5"/>
      <c r="C7" s="274" t="s">
        <v>125</v>
      </c>
      <c r="D7" s="274" t="s">
        <v>123</v>
      </c>
      <c r="E7" s="286">
        <f>'Grille tarifaire'!I97</f>
        <v>1.82</v>
      </c>
    </row>
    <row r="8" spans="1:11" ht="15.75" thickBot="1" x14ac:dyDescent="0.3">
      <c r="A8" s="708"/>
      <c r="B8" s="5"/>
      <c r="C8" s="275" t="s">
        <v>150</v>
      </c>
      <c r="D8" s="275" t="s">
        <v>125</v>
      </c>
      <c r="E8" s="286">
        <f>'Grille tarifaire'!I98</f>
        <v>3.91</v>
      </c>
    </row>
    <row r="9" spans="1:11" ht="15.75" thickBot="1" x14ac:dyDescent="0.3">
      <c r="A9" s="708"/>
      <c r="B9" s="5"/>
      <c r="C9" s="276" t="s">
        <v>151</v>
      </c>
      <c r="D9" s="276" t="s">
        <v>126</v>
      </c>
      <c r="E9" s="286">
        <f>'Grille tarifaire'!I99</f>
        <v>6.91</v>
      </c>
    </row>
    <row r="10" spans="1:11" ht="15.75" thickBot="1" x14ac:dyDescent="0.3">
      <c r="A10" s="88"/>
      <c r="C10" s="6"/>
      <c r="D10" s="228"/>
      <c r="E10" s="228"/>
    </row>
    <row r="11" spans="1:11" ht="15.75" thickBot="1" x14ac:dyDescent="0.3">
      <c r="A11" s="708" t="s">
        <v>209</v>
      </c>
      <c r="C11" s="275" t="s">
        <v>125</v>
      </c>
      <c r="D11" s="276" t="s">
        <v>123</v>
      </c>
      <c r="E11" s="287">
        <f>'Grille tarifaire'!J97</f>
        <v>1.82</v>
      </c>
    </row>
    <row r="12" spans="1:11" ht="15.75" thickBot="1" x14ac:dyDescent="0.3">
      <c r="A12" s="708"/>
      <c r="C12" s="276" t="s">
        <v>150</v>
      </c>
      <c r="D12" s="276" t="s">
        <v>125</v>
      </c>
      <c r="E12" s="287">
        <f>'Grille tarifaire'!J98</f>
        <v>3.91</v>
      </c>
    </row>
    <row r="13" spans="1:11" ht="15.75" thickBot="1" x14ac:dyDescent="0.3">
      <c r="A13" s="708"/>
      <c r="C13" s="276" t="s">
        <v>151</v>
      </c>
      <c r="D13" s="276" t="s">
        <v>126</v>
      </c>
      <c r="E13" s="287">
        <f>'Grille tarifaire'!J99</f>
        <v>6.91</v>
      </c>
    </row>
    <row r="14" spans="1:11" ht="15.75" thickBot="1" x14ac:dyDescent="0.3">
      <c r="A14" s="90"/>
      <c r="C14" s="228"/>
      <c r="D14" s="228"/>
      <c r="E14" s="228"/>
    </row>
    <row r="15" spans="1:11" ht="15.75" thickBot="1" x14ac:dyDescent="0.3">
      <c r="A15" s="708" t="s">
        <v>210</v>
      </c>
      <c r="C15" s="276" t="s">
        <v>125</v>
      </c>
      <c r="D15" s="276" t="s">
        <v>123</v>
      </c>
      <c r="E15" s="287">
        <f>'Grille tarifaire'!K97</f>
        <v>1.94</v>
      </c>
    </row>
    <row r="16" spans="1:11" ht="15.75" thickBot="1" x14ac:dyDescent="0.3">
      <c r="A16" s="708"/>
      <c r="C16" s="276" t="s">
        <v>150</v>
      </c>
      <c r="D16" s="276" t="s">
        <v>125</v>
      </c>
      <c r="E16" s="287">
        <f>'Grille tarifaire'!K98</f>
        <v>4.17</v>
      </c>
    </row>
    <row r="17" spans="1:5" ht="15.75" thickBot="1" x14ac:dyDescent="0.3">
      <c r="A17" s="708"/>
      <c r="C17" s="276" t="s">
        <v>151</v>
      </c>
      <c r="D17" s="276" t="s">
        <v>126</v>
      </c>
      <c r="E17" s="287">
        <f>'Grille tarifaire'!K99</f>
        <v>7.37</v>
      </c>
    </row>
    <row r="18" spans="1:5" ht="15.75" thickBot="1" x14ac:dyDescent="0.3">
      <c r="A18" s="88"/>
      <c r="C18" s="228"/>
      <c r="D18" s="228"/>
      <c r="E18" s="228"/>
    </row>
    <row r="19" spans="1:5" ht="15.75" thickBot="1" x14ac:dyDescent="0.3">
      <c r="A19" s="708" t="s">
        <v>212</v>
      </c>
      <c r="C19" s="275" t="s">
        <v>125</v>
      </c>
      <c r="D19" s="275" t="s">
        <v>123</v>
      </c>
      <c r="E19" s="287">
        <f>'Grille tarifaire'!L97</f>
        <v>1.99</v>
      </c>
    </row>
    <row r="20" spans="1:5" ht="15.75" thickBot="1" x14ac:dyDescent="0.3">
      <c r="A20" s="708"/>
      <c r="C20" s="276" t="s">
        <v>150</v>
      </c>
      <c r="D20" s="276" t="s">
        <v>125</v>
      </c>
      <c r="E20" s="287">
        <f>'Grille tarifaire'!L98</f>
        <v>4.28</v>
      </c>
    </row>
    <row r="21" spans="1:5" ht="15.75" thickBot="1" x14ac:dyDescent="0.3">
      <c r="A21" s="708"/>
      <c r="C21" s="276" t="s">
        <v>151</v>
      </c>
      <c r="D21" s="276" t="s">
        <v>126</v>
      </c>
      <c r="E21" s="287">
        <f>'Grille tarifaire'!L99</f>
        <v>7.56</v>
      </c>
    </row>
    <row r="22" spans="1:5" ht="15.75" thickBot="1" x14ac:dyDescent="0.3">
      <c r="A22" s="92"/>
    </row>
    <row r="24" spans="1:5" x14ac:dyDescent="0.25">
      <c r="A24" s="88"/>
    </row>
    <row r="25" spans="1:5" x14ac:dyDescent="0.25">
      <c r="A25" s="88"/>
    </row>
    <row r="26" spans="1:5" x14ac:dyDescent="0.25">
      <c r="A26" s="88"/>
    </row>
  </sheetData>
  <mergeCells count="6">
    <mergeCell ref="A19:A21"/>
    <mergeCell ref="C2:K2"/>
    <mergeCell ref="C4:E4"/>
    <mergeCell ref="A7:A9"/>
    <mergeCell ref="A11:A13"/>
    <mergeCell ref="A15:A1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sheetPr>
  <dimension ref="A1:K22"/>
  <sheetViews>
    <sheetView workbookViewId="0">
      <selection activeCell="D13" sqref="D13:D14"/>
    </sheetView>
  </sheetViews>
  <sheetFormatPr baseColWidth="10" defaultColWidth="11.28515625" defaultRowHeight="15" x14ac:dyDescent="0.25"/>
  <cols>
    <col min="1" max="1" width="17.7109375" customWidth="1"/>
    <col min="2" max="2" width="3" customWidth="1"/>
    <col min="3" max="4" width="25.7109375" customWidth="1"/>
  </cols>
  <sheetData>
    <row r="1" spans="1:11" x14ac:dyDescent="0.25">
      <c r="C1" s="1" t="s">
        <v>0</v>
      </c>
    </row>
    <row r="2" spans="1:11" ht="48" customHeight="1" x14ac:dyDescent="0.25">
      <c r="C2" s="715" t="s">
        <v>200</v>
      </c>
      <c r="D2" s="715"/>
      <c r="E2" s="715"/>
      <c r="F2" s="715"/>
      <c r="G2" s="715"/>
      <c r="H2" s="715"/>
      <c r="I2" s="715"/>
      <c r="J2" s="715"/>
      <c r="K2" s="715"/>
    </row>
    <row r="4" spans="1:11" ht="44.25" customHeight="1" x14ac:dyDescent="0.25">
      <c r="C4" s="707" t="s">
        <v>245</v>
      </c>
      <c r="D4" s="708"/>
    </row>
    <row r="5" spans="1:11" ht="15.75" thickBot="1" x14ac:dyDescent="0.3"/>
    <row r="6" spans="1:11" ht="15.75" thickBot="1" x14ac:dyDescent="0.3">
      <c r="C6" s="87" t="s">
        <v>157</v>
      </c>
      <c r="D6" s="68" t="s">
        <v>201</v>
      </c>
    </row>
    <row r="7" spans="1:11" ht="15.75" thickBot="1" x14ac:dyDescent="0.3">
      <c r="A7" s="708" t="s">
        <v>211</v>
      </c>
      <c r="C7" s="274" t="s">
        <v>125</v>
      </c>
      <c r="D7" s="288">
        <f>'Grille tarifaire'!I100</f>
        <v>1.43E-2</v>
      </c>
    </row>
    <row r="8" spans="1:11" ht="15.75" thickBot="1" x14ac:dyDescent="0.3">
      <c r="A8" s="708"/>
      <c r="C8" s="275" t="s">
        <v>126</v>
      </c>
      <c r="D8" s="289">
        <f>'Grille tarifaire'!I101</f>
        <v>8.9999999999999993E-3</v>
      </c>
    </row>
    <row r="9" spans="1:11" ht="15.75" thickBot="1" x14ac:dyDescent="0.3">
      <c r="A9" s="88"/>
      <c r="C9" s="228"/>
      <c r="D9" s="228"/>
    </row>
    <row r="10" spans="1:11" ht="15.75" thickBot="1" x14ac:dyDescent="0.3">
      <c r="A10" s="708" t="s">
        <v>209</v>
      </c>
      <c r="C10" s="276" t="s">
        <v>125</v>
      </c>
      <c r="D10" s="290">
        <f>'Grille tarifaire'!J100</f>
        <v>1.43E-2</v>
      </c>
    </row>
    <row r="11" spans="1:11" ht="15.75" thickBot="1" x14ac:dyDescent="0.3">
      <c r="A11" s="708"/>
      <c r="C11" s="276" t="s">
        <v>126</v>
      </c>
      <c r="D11" s="290">
        <f>'Grille tarifaire'!J101</f>
        <v>8.9999999999999993E-3</v>
      </c>
    </row>
    <row r="12" spans="1:11" ht="15.75" thickBot="1" x14ac:dyDescent="0.3">
      <c r="A12" s="211"/>
      <c r="C12" s="228"/>
      <c r="D12" s="228"/>
    </row>
    <row r="13" spans="1:11" ht="15.75" thickBot="1" x14ac:dyDescent="0.3">
      <c r="A13" s="708" t="s">
        <v>210</v>
      </c>
      <c r="C13" s="276" t="s">
        <v>125</v>
      </c>
      <c r="D13" s="290">
        <f>'Grille tarifaire'!K100</f>
        <v>1.43E-2</v>
      </c>
    </row>
    <row r="14" spans="1:11" ht="15.75" thickBot="1" x14ac:dyDescent="0.3">
      <c r="A14" s="708"/>
      <c r="C14" s="276" t="s">
        <v>126</v>
      </c>
      <c r="D14" s="290">
        <f>'Grille tarifaire'!K101</f>
        <v>8.9999999999999993E-3</v>
      </c>
    </row>
    <row r="15" spans="1:11" ht="15.75" thickBot="1" x14ac:dyDescent="0.3">
      <c r="A15" s="88"/>
      <c r="C15" s="228"/>
      <c r="D15" s="228"/>
    </row>
    <row r="16" spans="1:11" ht="15.75" thickBot="1" x14ac:dyDescent="0.3">
      <c r="A16" s="708" t="s">
        <v>212</v>
      </c>
      <c r="C16" s="275" t="s">
        <v>125</v>
      </c>
      <c r="D16" s="291">
        <f>'Grille tarifaire'!L100</f>
        <v>1.5599999999999999E-2</v>
      </c>
    </row>
    <row r="17" spans="1:4" ht="15.75" thickBot="1" x14ac:dyDescent="0.3">
      <c r="A17" s="708"/>
      <c r="C17" s="276" t="s">
        <v>126</v>
      </c>
      <c r="D17" s="290">
        <f>'Grille tarifaire'!L101</f>
        <v>9.7999999999999997E-3</v>
      </c>
    </row>
    <row r="18" spans="1:4" x14ac:dyDescent="0.25">
      <c r="A18" s="210"/>
    </row>
    <row r="20" spans="1:4" x14ac:dyDescent="0.25">
      <c r="A20" s="88"/>
    </row>
    <row r="21" spans="1:4" x14ac:dyDescent="0.25">
      <c r="A21" s="88"/>
    </row>
    <row r="22" spans="1:4" x14ac:dyDescent="0.25">
      <c r="A22" s="88"/>
    </row>
  </sheetData>
  <mergeCells count="6">
    <mergeCell ref="A16:A17"/>
    <mergeCell ref="C2:K2"/>
    <mergeCell ref="C4:D4"/>
    <mergeCell ref="A7:A8"/>
    <mergeCell ref="A10:A11"/>
    <mergeCell ref="A13:A1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sheetPr>
  <dimension ref="A1:H26"/>
  <sheetViews>
    <sheetView zoomScale="85" zoomScaleNormal="85" workbookViewId="0">
      <selection activeCell="I13" sqref="I13"/>
    </sheetView>
  </sheetViews>
  <sheetFormatPr baseColWidth="10" defaultColWidth="11.28515625" defaultRowHeight="15" x14ac:dyDescent="0.25"/>
  <cols>
    <col min="1" max="1" width="17.7109375" customWidth="1"/>
    <col min="2" max="2" width="3" customWidth="1"/>
    <col min="3" max="4" width="26.28515625" customWidth="1"/>
    <col min="5" max="5" width="4.85546875" customWidth="1"/>
    <col min="6" max="6" width="26.7109375" customWidth="1"/>
    <col min="7" max="7" width="26.28515625" customWidth="1"/>
    <col min="8" max="8" width="4.7109375" customWidth="1"/>
    <col min="9" max="9" width="17.7109375" customWidth="1"/>
    <col min="10" max="11" width="26.28515625" customWidth="1"/>
    <col min="13" max="14" width="26.28515625" customWidth="1"/>
  </cols>
  <sheetData>
    <row r="1" spans="1:8" x14ac:dyDescent="0.25">
      <c r="C1" s="1" t="s">
        <v>0</v>
      </c>
      <c r="D1" s="1"/>
      <c r="G1" s="1"/>
    </row>
    <row r="2" spans="1:8" ht="24" x14ac:dyDescent="0.25">
      <c r="C2" s="3" t="s">
        <v>202</v>
      </c>
      <c r="D2" s="3"/>
      <c r="G2" s="3"/>
    </row>
    <row r="4" spans="1:8" ht="45.75" customHeight="1" x14ac:dyDescent="0.25">
      <c r="C4" s="707" t="s">
        <v>260</v>
      </c>
      <c r="D4" s="708"/>
      <c r="F4" s="707" t="s">
        <v>246</v>
      </c>
      <c r="G4" s="708"/>
    </row>
    <row r="5" spans="1:8" ht="15.75" thickBot="1" x14ac:dyDescent="0.3"/>
    <row r="6" spans="1:8" ht="15.75" thickBot="1" x14ac:dyDescent="0.3">
      <c r="C6" s="87" t="s">
        <v>203</v>
      </c>
      <c r="D6" s="68" t="s">
        <v>154</v>
      </c>
      <c r="F6" s="87" t="s">
        <v>203</v>
      </c>
      <c r="G6" s="68" t="s">
        <v>154</v>
      </c>
    </row>
    <row r="7" spans="1:8" ht="39" customHeight="1" thickBot="1" x14ac:dyDescent="0.3">
      <c r="A7" s="711" t="s">
        <v>211</v>
      </c>
      <c r="C7" s="274" t="s">
        <v>264</v>
      </c>
      <c r="D7" s="292">
        <f>'Grille tarifaire'!I102</f>
        <v>10.3</v>
      </c>
      <c r="F7" s="274" t="s">
        <v>153</v>
      </c>
      <c r="G7" s="292">
        <f>'Grille tarifaire'!I104</f>
        <v>3.05</v>
      </c>
    </row>
    <row r="8" spans="1:8" ht="42" customHeight="1" thickBot="1" x14ac:dyDescent="0.3">
      <c r="A8" s="708"/>
      <c r="C8" s="275" t="s">
        <v>265</v>
      </c>
      <c r="D8" s="294">
        <f>'Grille tarifaire'!I103</f>
        <v>0.9</v>
      </c>
      <c r="E8" s="233"/>
      <c r="F8" s="275" t="s">
        <v>155</v>
      </c>
      <c r="G8" s="294">
        <f>'Grille tarifaire'!I105</f>
        <v>0.53</v>
      </c>
      <c r="H8" s="226"/>
    </row>
    <row r="9" spans="1:8" ht="27.75" customHeight="1" x14ac:dyDescent="0.25">
      <c r="A9" s="88"/>
      <c r="C9" s="6"/>
      <c r="F9" s="6"/>
    </row>
    <row r="10" spans="1:8" ht="15.75" thickBot="1" x14ac:dyDescent="0.3">
      <c r="A10" s="88"/>
      <c r="C10" s="7"/>
      <c r="F10" s="7"/>
    </row>
    <row r="11" spans="1:8" ht="41.25" customHeight="1" thickBot="1" x14ac:dyDescent="0.3">
      <c r="A11" s="709" t="s">
        <v>209</v>
      </c>
      <c r="B11" s="230"/>
      <c r="C11" s="275" t="s">
        <v>264</v>
      </c>
      <c r="D11" s="293">
        <f>'Grille tarifaire'!J102</f>
        <v>10.3</v>
      </c>
      <c r="F11" s="275" t="s">
        <v>153</v>
      </c>
      <c r="G11" s="293">
        <f>'Grille tarifaire'!J104</f>
        <v>3.05</v>
      </c>
    </row>
    <row r="12" spans="1:8" ht="37.5" customHeight="1" thickBot="1" x14ac:dyDescent="0.3">
      <c r="A12" s="710"/>
      <c r="B12" s="230"/>
      <c r="C12" s="275" t="s">
        <v>265</v>
      </c>
      <c r="D12" s="293">
        <f>'Grille tarifaire'!J103</f>
        <v>0.9</v>
      </c>
      <c r="F12" s="275" t="s">
        <v>155</v>
      </c>
      <c r="G12" s="293">
        <f>'Grille tarifaire'!J105</f>
        <v>0.53</v>
      </c>
    </row>
    <row r="13" spans="1:8" ht="27.75" customHeight="1" x14ac:dyDescent="0.25">
      <c r="A13" s="90"/>
      <c r="B13" s="232"/>
      <c r="C13" s="6"/>
      <c r="F13" s="6"/>
    </row>
    <row r="14" spans="1:8" ht="15.75" thickBot="1" x14ac:dyDescent="0.3">
      <c r="A14" s="90"/>
    </row>
    <row r="15" spans="1:8" ht="38.25" customHeight="1" thickBot="1" x14ac:dyDescent="0.3">
      <c r="A15" s="711" t="s">
        <v>210</v>
      </c>
      <c r="B15" s="5"/>
      <c r="C15" s="275" t="s">
        <v>264</v>
      </c>
      <c r="D15" s="293">
        <f>'Grille tarifaire'!K102</f>
        <v>10.99</v>
      </c>
      <c r="F15" s="275" t="s">
        <v>153</v>
      </c>
      <c r="G15" s="293">
        <f>'Grille tarifaire'!K104</f>
        <v>3.25</v>
      </c>
    </row>
    <row r="16" spans="1:8" ht="42" customHeight="1" thickBot="1" x14ac:dyDescent="0.3">
      <c r="A16" s="708"/>
      <c r="B16" s="5"/>
      <c r="C16" s="275" t="s">
        <v>265</v>
      </c>
      <c r="D16" s="293">
        <f>'Grille tarifaire'!K103</f>
        <v>0.96</v>
      </c>
      <c r="F16" s="275" t="s">
        <v>155</v>
      </c>
      <c r="G16" s="293">
        <f>'Grille tarifaire'!K105</f>
        <v>0.56999999999999995</v>
      </c>
    </row>
    <row r="17" spans="1:7" ht="27.75" customHeight="1" x14ac:dyDescent="0.25">
      <c r="A17" s="88"/>
      <c r="C17" s="6"/>
    </row>
    <row r="18" spans="1:7" ht="15.75" thickBot="1" x14ac:dyDescent="0.3">
      <c r="A18" s="88"/>
    </row>
    <row r="19" spans="1:7" ht="42" customHeight="1" thickBot="1" x14ac:dyDescent="0.3">
      <c r="A19" s="710" t="s">
        <v>212</v>
      </c>
      <c r="B19" s="230"/>
      <c r="C19" s="275" t="s">
        <v>264</v>
      </c>
      <c r="D19" s="293">
        <f>'Grille tarifaire'!L102</f>
        <v>11.26</v>
      </c>
      <c r="F19" s="275" t="s">
        <v>153</v>
      </c>
      <c r="G19" s="293">
        <f>'Grille tarifaire'!L104</f>
        <v>3.33</v>
      </c>
    </row>
    <row r="20" spans="1:7" ht="37.5" customHeight="1" thickBot="1" x14ac:dyDescent="0.3">
      <c r="A20" s="710"/>
      <c r="B20" s="230"/>
      <c r="C20" s="321" t="s">
        <v>265</v>
      </c>
      <c r="D20" s="293">
        <f>'Grille tarifaire'!L103</f>
        <v>0.98</v>
      </c>
      <c r="F20" s="275" t="s">
        <v>155</v>
      </c>
      <c r="G20" s="293">
        <f>'Grille tarifaire'!L105</f>
        <v>0.57999999999999996</v>
      </c>
    </row>
    <row r="21" spans="1:7" ht="27.75" customHeight="1" x14ac:dyDescent="0.25">
      <c r="A21" s="211"/>
      <c r="B21" s="232"/>
      <c r="C21" s="6"/>
      <c r="D21" s="6"/>
    </row>
    <row r="24" spans="1:7" x14ac:dyDescent="0.25">
      <c r="A24" s="88"/>
    </row>
    <row r="25" spans="1:7" x14ac:dyDescent="0.25">
      <c r="A25" s="88"/>
    </row>
    <row r="26" spans="1:7" x14ac:dyDescent="0.25">
      <c r="A26" s="88"/>
    </row>
  </sheetData>
  <mergeCells count="6">
    <mergeCell ref="A19:A20"/>
    <mergeCell ref="C4:D4"/>
    <mergeCell ref="A7:A8"/>
    <mergeCell ref="A11:A12"/>
    <mergeCell ref="F4:G4"/>
    <mergeCell ref="A15:A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P85"/>
  <sheetViews>
    <sheetView tabSelected="1" zoomScale="85" zoomScaleNormal="85" workbookViewId="0">
      <selection activeCell="F92" sqref="F92"/>
    </sheetView>
  </sheetViews>
  <sheetFormatPr baseColWidth="10" defaultColWidth="11.28515625" defaultRowHeight="15" x14ac:dyDescent="0.25"/>
  <cols>
    <col min="1" max="1" width="10.140625" customWidth="1"/>
    <col min="2" max="2" width="73" style="106" customWidth="1"/>
    <col min="3" max="4" width="11.28515625" style="106" customWidth="1"/>
    <col min="5" max="5" width="16.28515625" bestFit="1" customWidth="1"/>
    <col min="6" max="6" width="14.85546875" bestFit="1" customWidth="1"/>
    <col min="7" max="8" width="13.7109375" bestFit="1" customWidth="1"/>
    <col min="11" max="11" width="14.28515625" customWidth="1"/>
    <col min="12" max="12" width="30.28515625" customWidth="1"/>
    <col min="13" max="13" width="12.7109375" bestFit="1" customWidth="1"/>
    <col min="14" max="14" width="15.28515625" customWidth="1"/>
  </cols>
  <sheetData>
    <row r="1" spans="1:15" ht="15.75" thickBot="1" x14ac:dyDescent="0.3">
      <c r="B1" s="108" t="s">
        <v>0</v>
      </c>
    </row>
    <row r="2" spans="1:15" ht="16.5" thickBot="1" x14ac:dyDescent="0.35">
      <c r="B2" s="70"/>
      <c r="D2" s="615" t="s">
        <v>47</v>
      </c>
      <c r="E2" s="615"/>
      <c r="F2" s="616"/>
      <c r="G2" s="120">
        <v>1.7000000000000001E-2</v>
      </c>
    </row>
    <row r="3" spans="1:15" ht="15.75" thickBot="1" x14ac:dyDescent="0.3">
      <c r="D3" s="615" t="s">
        <v>308</v>
      </c>
      <c r="E3" s="615"/>
      <c r="F3" s="616" t="s">
        <v>48</v>
      </c>
      <c r="G3" s="120">
        <v>4.9220761724226899E-3</v>
      </c>
      <c r="I3" s="252"/>
    </row>
    <row r="4" spans="1:15" s="119" customFormat="1" ht="15.75" thickBot="1" x14ac:dyDescent="0.3">
      <c r="B4" s="133"/>
      <c r="D4" s="615" t="s">
        <v>298</v>
      </c>
      <c r="E4" s="615"/>
      <c r="F4" s="616"/>
      <c r="G4" s="432">
        <f>E64</f>
        <v>1.092207617242269E-2</v>
      </c>
      <c r="H4" s="252"/>
    </row>
    <row r="5" spans="1:15" ht="15.75" thickBot="1" x14ac:dyDescent="0.3"/>
    <row r="6" spans="1:15" s="119" customFormat="1" ht="15.75" thickBot="1" x14ac:dyDescent="0.3">
      <c r="B6" s="116" t="s">
        <v>49</v>
      </c>
      <c r="C6" s="117">
        <v>2019</v>
      </c>
      <c r="D6" s="117">
        <v>2020</v>
      </c>
      <c r="E6" s="117">
        <v>2021</v>
      </c>
      <c r="F6" s="117">
        <v>2022</v>
      </c>
      <c r="G6" s="117">
        <v>2023</v>
      </c>
      <c r="H6" s="117">
        <v>2024</v>
      </c>
      <c r="I6" s="181">
        <v>2025</v>
      </c>
      <c r="J6" s="117"/>
      <c r="K6" s="118"/>
      <c r="L6" s="1"/>
    </row>
    <row r="7" spans="1:15" ht="15.75" thickBot="1" x14ac:dyDescent="0.3">
      <c r="A7" s="617" t="s">
        <v>6</v>
      </c>
      <c r="B7" s="258" t="s">
        <v>50</v>
      </c>
      <c r="C7" s="259"/>
      <c r="D7" s="498">
        <v>2E-3</v>
      </c>
      <c r="E7" s="113">
        <v>6.0000000000000001E-3</v>
      </c>
      <c r="F7" s="113">
        <v>0.01</v>
      </c>
      <c r="G7" s="113">
        <v>1.2E-2</v>
      </c>
      <c r="H7" s="113">
        <v>1.4999999999999999E-2</v>
      </c>
      <c r="I7" s="182">
        <v>1.5100000000000001E-2</v>
      </c>
      <c r="J7" s="112"/>
      <c r="K7" s="112"/>
      <c r="L7" s="252"/>
    </row>
    <row r="8" spans="1:15" ht="15.75" thickBot="1" x14ac:dyDescent="0.3">
      <c r="A8" s="617"/>
      <c r="B8" s="542" t="s">
        <v>282</v>
      </c>
      <c r="C8" s="114">
        <v>1</v>
      </c>
      <c r="D8" s="423">
        <f>C8*(1+D7)</f>
        <v>1.002</v>
      </c>
      <c r="E8" s="115">
        <f>D8*(1+E7)</f>
        <v>1.0080119999999999</v>
      </c>
      <c r="F8" s="255">
        <f>E8*(1+F7)</f>
        <v>1.0180921199999999</v>
      </c>
      <c r="G8" s="255">
        <f>F8*(1+G7)</f>
        <v>1.0303092254399999</v>
      </c>
      <c r="H8" s="115">
        <f>G8*(1+H7)</f>
        <v>1.0457638638215998</v>
      </c>
      <c r="I8" s="183">
        <f t="shared" ref="I8" si="0">H8*(1+I7)</f>
        <v>1.0615548981653058</v>
      </c>
      <c r="J8" s="114"/>
      <c r="K8" s="114"/>
    </row>
    <row r="9" spans="1:15" ht="15.75" thickBot="1" x14ac:dyDescent="0.3">
      <c r="I9" s="184"/>
    </row>
    <row r="10" spans="1:15" s="119" customFormat="1" ht="41.25" thickBot="1" x14ac:dyDescent="0.3">
      <c r="B10" s="116" t="s">
        <v>51</v>
      </c>
      <c r="C10" s="117">
        <v>2019</v>
      </c>
      <c r="D10" s="117">
        <v>2020</v>
      </c>
      <c r="E10" s="117">
        <v>2021</v>
      </c>
      <c r="F10" s="117">
        <v>2022</v>
      </c>
      <c r="G10" s="117">
        <v>2023</v>
      </c>
      <c r="H10" s="117">
        <v>2024</v>
      </c>
      <c r="I10" s="181">
        <v>2025</v>
      </c>
      <c r="J10" s="117" t="s">
        <v>267</v>
      </c>
      <c r="K10" s="117" t="s">
        <v>299</v>
      </c>
      <c r="L10" s="1"/>
    </row>
    <row r="11" spans="1:15" ht="15.75" customHeight="1" thickBot="1" x14ac:dyDescent="0.3">
      <c r="A11" s="617" t="s">
        <v>52</v>
      </c>
      <c r="B11" s="258" t="s">
        <v>305</v>
      </c>
      <c r="C11" s="260"/>
      <c r="D11" s="260"/>
      <c r="E11" s="425">
        <v>2082.9440472276601</v>
      </c>
      <c r="F11" s="574">
        <v>2116.114037244758</v>
      </c>
      <c r="G11" s="332">
        <v>2130.5816941943731</v>
      </c>
      <c r="H11" s="332">
        <v>2165.4638781726444</v>
      </c>
      <c r="I11" s="185"/>
      <c r="J11" s="110">
        <f>AVERAGE(E11:H11)</f>
        <v>2123.7759142098589</v>
      </c>
      <c r="K11" s="109"/>
      <c r="L11" s="337"/>
      <c r="M11" s="252"/>
    </row>
    <row r="12" spans="1:15" ht="24" customHeight="1" thickBot="1" x14ac:dyDescent="0.3">
      <c r="A12" s="617"/>
      <c r="B12" s="258" t="s">
        <v>53</v>
      </c>
      <c r="C12" s="178"/>
      <c r="D12" s="178"/>
      <c r="E12" s="241">
        <f>SUM(E13:E14)</f>
        <v>1685.2449480579883</v>
      </c>
      <c r="F12" s="241">
        <f>F13+F14</f>
        <v>1749.1428420317548</v>
      </c>
      <c r="G12" s="241">
        <f>G13+G14</f>
        <v>1823.6871737768365</v>
      </c>
      <c r="H12" s="241">
        <f>H13+H14</f>
        <v>1913.1562999108671</v>
      </c>
      <c r="I12" s="185"/>
      <c r="J12" s="110">
        <f t="shared" ref="J12:J24" si="1">AVERAGE(E12:H12)</f>
        <v>1792.8078159443619</v>
      </c>
      <c r="K12" s="111"/>
      <c r="L12" s="336"/>
      <c r="M12" s="179"/>
      <c r="N12" s="252"/>
    </row>
    <row r="13" spans="1:15" ht="22.15" customHeight="1" thickBot="1" x14ac:dyDescent="0.3">
      <c r="A13" s="617"/>
      <c r="B13" s="129" t="s">
        <v>291</v>
      </c>
      <c r="C13" s="111"/>
      <c r="D13" s="111"/>
      <c r="E13" s="333">
        <v>188.74786007392822</v>
      </c>
      <c r="F13" s="333">
        <v>207.03421743397431</v>
      </c>
      <c r="G13" s="333">
        <v>223.04307416972861</v>
      </c>
      <c r="H13" s="333">
        <v>235.11115152362325</v>
      </c>
      <c r="I13" s="333"/>
      <c r="J13" s="111">
        <f t="shared" si="1"/>
        <v>213.48407580031358</v>
      </c>
      <c r="K13" s="111"/>
      <c r="L13" s="336"/>
    </row>
    <row r="14" spans="1:15" ht="23.45" customHeight="1" thickBot="1" x14ac:dyDescent="0.3">
      <c r="A14" s="617"/>
      <c r="B14" s="129" t="s">
        <v>300</v>
      </c>
      <c r="C14" s="111"/>
      <c r="D14" s="111"/>
      <c r="E14" s="333">
        <v>1496.49708798406</v>
      </c>
      <c r="F14" s="333">
        <v>1542.1086245977804</v>
      </c>
      <c r="G14" s="333">
        <v>1600.6440996071078</v>
      </c>
      <c r="H14" s="333">
        <v>1678.0451483872439</v>
      </c>
      <c r="I14" s="333"/>
      <c r="J14" s="111">
        <f t="shared" si="1"/>
        <v>1579.3237401440481</v>
      </c>
      <c r="K14" s="111"/>
      <c r="L14" s="336"/>
    </row>
    <row r="15" spans="1:15" ht="22.15" customHeight="1" thickBot="1" x14ac:dyDescent="0.3">
      <c r="A15" s="617"/>
      <c r="B15" s="258" t="s">
        <v>54</v>
      </c>
      <c r="C15" s="178"/>
      <c r="D15" s="178"/>
      <c r="E15" s="334">
        <v>543.64903432444135</v>
      </c>
      <c r="F15" s="334">
        <v>518.37794887117707</v>
      </c>
      <c r="G15" s="334">
        <v>516.66540672142264</v>
      </c>
      <c r="H15" s="334">
        <v>530.11294853251388</v>
      </c>
      <c r="I15" s="111"/>
      <c r="J15" s="110">
        <f t="shared" si="1"/>
        <v>527.20133461238879</v>
      </c>
      <c r="K15" s="111"/>
      <c r="L15" s="336"/>
    </row>
    <row r="16" spans="1:15" ht="15.75" thickBot="1" x14ac:dyDescent="0.3">
      <c r="A16" s="617"/>
      <c r="B16" s="258" t="s">
        <v>268</v>
      </c>
      <c r="C16" s="178"/>
      <c r="D16" s="178"/>
      <c r="E16" s="334">
        <v>217.58523270474331</v>
      </c>
      <c r="F16" s="604">
        <v>193.83523270474331</v>
      </c>
      <c r="G16" s="334">
        <v>190.83523270474331</v>
      </c>
      <c r="H16" s="334">
        <v>191.83523270474331</v>
      </c>
      <c r="I16" s="111"/>
      <c r="J16" s="110">
        <f t="shared" si="1"/>
        <v>198.52273270474331</v>
      </c>
      <c r="K16" s="111"/>
      <c r="L16" s="192"/>
      <c r="M16" s="193"/>
      <c r="N16" s="193"/>
      <c r="O16" s="193"/>
    </row>
    <row r="17" spans="1:14" ht="15.75" thickBot="1" x14ac:dyDescent="0.3">
      <c r="A17" s="617"/>
      <c r="B17" s="258" t="s">
        <v>301</v>
      </c>
      <c r="C17" s="178"/>
      <c r="D17" s="178"/>
      <c r="E17" s="334">
        <v>22.389565196695997</v>
      </c>
      <c r="F17" s="334">
        <v>29.373208023804601</v>
      </c>
      <c r="G17" s="334">
        <v>37.095351377572499</v>
      </c>
      <c r="H17" s="334">
        <v>41.7064031870216</v>
      </c>
      <c r="I17" s="111"/>
      <c r="J17" s="110">
        <f t="shared" si="1"/>
        <v>32.641131946273674</v>
      </c>
      <c r="K17" s="111"/>
      <c r="L17" s="336"/>
    </row>
    <row r="18" spans="1:14" ht="15.75" thickBot="1" x14ac:dyDescent="0.3">
      <c r="A18" s="617"/>
      <c r="B18" s="258" t="s">
        <v>55</v>
      </c>
      <c r="C18" s="260"/>
      <c r="D18" s="260"/>
      <c r="E18" s="241">
        <v>73.841666666666697</v>
      </c>
      <c r="F18" s="241">
        <v>73.841666666666697</v>
      </c>
      <c r="G18" s="241">
        <v>73.841666666666697</v>
      </c>
      <c r="H18" s="241">
        <v>73.841666666666697</v>
      </c>
      <c r="I18" s="185"/>
      <c r="J18" s="110">
        <f>AVERAGE(E18:H18)</f>
        <v>73.841666666666697</v>
      </c>
      <c r="K18" s="109"/>
      <c r="L18" s="422"/>
    </row>
    <row r="19" spans="1:14" ht="27.75" thickBot="1" x14ac:dyDescent="0.3">
      <c r="A19" s="617"/>
      <c r="B19" s="258" t="s">
        <v>303</v>
      </c>
      <c r="C19" s="260"/>
      <c r="D19" s="260"/>
      <c r="E19" s="241">
        <v>29.779802933333333</v>
      </c>
      <c r="F19" s="241">
        <v>29.838267629333298</v>
      </c>
      <c r="G19" s="241">
        <v>29.909126840885332</v>
      </c>
      <c r="H19" s="241">
        <v>29.998763743498614</v>
      </c>
      <c r="I19" s="185"/>
      <c r="J19" s="110">
        <f t="shared" si="1"/>
        <v>29.881490286762645</v>
      </c>
      <c r="K19" s="109"/>
      <c r="M19" s="337"/>
    </row>
    <row r="20" spans="1:14" ht="27.75" thickBot="1" x14ac:dyDescent="0.3">
      <c r="A20" s="617"/>
      <c r="B20" s="258" t="s">
        <v>56</v>
      </c>
      <c r="C20" s="260"/>
      <c r="D20" s="260"/>
      <c r="E20" s="241">
        <v>0</v>
      </c>
      <c r="F20" s="241">
        <v>0</v>
      </c>
      <c r="G20" s="241">
        <v>0</v>
      </c>
      <c r="H20" s="241">
        <v>0</v>
      </c>
      <c r="I20" s="185"/>
      <c r="J20" s="110">
        <f t="shared" si="1"/>
        <v>0</v>
      </c>
      <c r="K20" s="109"/>
      <c r="L20" s="179"/>
      <c r="M20" s="337"/>
    </row>
    <row r="21" spans="1:14" ht="41.25" thickBot="1" x14ac:dyDescent="0.3">
      <c r="A21" s="617"/>
      <c r="B21" s="258" t="s">
        <v>61</v>
      </c>
      <c r="C21" s="260"/>
      <c r="D21" s="260"/>
      <c r="E21" s="241">
        <v>0</v>
      </c>
      <c r="F21" s="241">
        <v>0</v>
      </c>
      <c r="G21" s="241">
        <v>0</v>
      </c>
      <c r="H21" s="241">
        <v>0</v>
      </c>
      <c r="I21" s="185"/>
      <c r="J21" s="110">
        <f t="shared" si="1"/>
        <v>0</v>
      </c>
      <c r="K21" s="109"/>
      <c r="L21" s="179"/>
      <c r="M21" s="337"/>
    </row>
    <row r="22" spans="1:14" ht="27.75" thickBot="1" x14ac:dyDescent="0.3">
      <c r="A22" s="617"/>
      <c r="B22" s="258" t="s">
        <v>247</v>
      </c>
      <c r="C22" s="260"/>
      <c r="D22" s="260"/>
      <c r="E22" s="241">
        <v>0</v>
      </c>
      <c r="F22" s="241">
        <v>0</v>
      </c>
      <c r="G22" s="241">
        <v>0</v>
      </c>
      <c r="H22" s="241">
        <v>0</v>
      </c>
      <c r="I22" s="185"/>
      <c r="J22" s="110">
        <f t="shared" si="1"/>
        <v>0</v>
      </c>
      <c r="K22" s="109"/>
      <c r="M22" s="337"/>
    </row>
    <row r="23" spans="1:14" ht="15.75" thickBot="1" x14ac:dyDescent="0.3">
      <c r="A23" s="617"/>
      <c r="B23" s="258" t="s">
        <v>269</v>
      </c>
      <c r="C23" s="260"/>
      <c r="D23" s="260"/>
      <c r="E23" s="241">
        <v>0</v>
      </c>
      <c r="F23" s="241">
        <v>0</v>
      </c>
      <c r="G23" s="241">
        <v>0</v>
      </c>
      <c r="H23" s="241">
        <v>0</v>
      </c>
      <c r="I23" s="185"/>
      <c r="J23" s="110">
        <f t="shared" si="1"/>
        <v>0</v>
      </c>
      <c r="K23" s="109"/>
      <c r="M23" s="337"/>
    </row>
    <row r="24" spans="1:14" ht="27.75" thickBot="1" x14ac:dyDescent="0.3">
      <c r="A24" s="617"/>
      <c r="B24" s="258" t="s">
        <v>57</v>
      </c>
      <c r="C24" s="260"/>
      <c r="D24" s="260"/>
      <c r="E24" s="241">
        <v>0</v>
      </c>
      <c r="F24" s="241">
        <v>0</v>
      </c>
      <c r="G24" s="241">
        <v>0</v>
      </c>
      <c r="H24" s="241">
        <v>0</v>
      </c>
      <c r="I24" s="185"/>
      <c r="J24" s="110">
        <f t="shared" si="1"/>
        <v>0</v>
      </c>
      <c r="K24" s="109"/>
      <c r="M24" s="337"/>
    </row>
    <row r="25" spans="1:14" ht="15.75" thickBot="1" x14ac:dyDescent="0.3">
      <c r="A25" s="125"/>
      <c r="B25" s="261" t="s">
        <v>58</v>
      </c>
      <c r="C25" s="262"/>
      <c r="D25" s="262"/>
      <c r="E25" s="248">
        <f>E11+E12+SUM(E15:E24)</f>
        <v>4655.4342971115293</v>
      </c>
      <c r="F25" s="248">
        <f>F11+F12+SUM(F15:F24)</f>
        <v>4710.523203172238</v>
      </c>
      <c r="G25" s="248">
        <f>G11+G12+SUM(G15:G24)</f>
        <v>4802.6156522825004</v>
      </c>
      <c r="H25" s="248">
        <f>H11+H12+SUM(H15:H24)</f>
        <v>4946.1151929179559</v>
      </c>
      <c r="I25" s="186"/>
      <c r="J25" s="128">
        <f>AVERAGE(E25:H25)</f>
        <v>4778.6720863710561</v>
      </c>
      <c r="K25" s="127"/>
    </row>
    <row r="26" spans="1:14" ht="27.75" thickBot="1" x14ac:dyDescent="0.3">
      <c r="A26" s="617" t="s">
        <v>59</v>
      </c>
      <c r="B26" s="258" t="s">
        <v>273</v>
      </c>
      <c r="C26" s="260"/>
      <c r="D26" s="260"/>
      <c r="E26" s="334">
        <v>-418.80000000000007</v>
      </c>
      <c r="F26" s="334">
        <v>-360.2</v>
      </c>
      <c r="G26" s="334">
        <v>-343.4</v>
      </c>
      <c r="H26" s="334">
        <v>-341.50000000000006</v>
      </c>
      <c r="I26" s="335">
        <v>-289.22500000000002</v>
      </c>
      <c r="J26" s="110">
        <f t="shared" ref="J26:J31" si="2">AVERAGE(E26:H26)</f>
        <v>-365.97500000000002</v>
      </c>
      <c r="K26" s="109"/>
      <c r="M26" s="252"/>
      <c r="N26" s="337"/>
    </row>
    <row r="27" spans="1:14" ht="15.75" thickBot="1" x14ac:dyDescent="0.3">
      <c r="A27" s="617"/>
      <c r="B27" s="258" t="s">
        <v>249</v>
      </c>
      <c r="C27" s="260"/>
      <c r="D27" s="260"/>
      <c r="E27" s="241">
        <v>-0.20200000000000001</v>
      </c>
      <c r="F27" s="241">
        <v>-0.20200000000000001</v>
      </c>
      <c r="G27" s="241">
        <v>-0.20200000000000001</v>
      </c>
      <c r="H27" s="241">
        <v>-0.20200000000000001</v>
      </c>
      <c r="I27" s="185"/>
      <c r="J27" s="110">
        <f t="shared" si="2"/>
        <v>-0.20200000000000001</v>
      </c>
      <c r="K27" s="109"/>
      <c r="L27" s="422"/>
    </row>
    <row r="28" spans="1:14" ht="27.75" thickBot="1" x14ac:dyDescent="0.3">
      <c r="A28" s="617"/>
      <c r="B28" s="258" t="s">
        <v>250</v>
      </c>
      <c r="C28" s="260"/>
      <c r="D28" s="260"/>
      <c r="E28" s="241">
        <v>-14.266666666666699</v>
      </c>
      <c r="F28" s="241">
        <v>-14.266666666666666</v>
      </c>
      <c r="G28" s="241">
        <v>-14.266666666666666</v>
      </c>
      <c r="H28" s="241">
        <v>-14.266666666666666</v>
      </c>
      <c r="I28" s="185"/>
      <c r="J28" s="110">
        <f t="shared" si="2"/>
        <v>-14.266666666666675</v>
      </c>
      <c r="K28" s="109"/>
      <c r="M28" s="337"/>
    </row>
    <row r="29" spans="1:14" ht="15.75" thickBot="1" x14ac:dyDescent="0.3">
      <c r="A29" s="617"/>
      <c r="B29" s="258" t="s">
        <v>251</v>
      </c>
      <c r="C29" s="260"/>
      <c r="D29" s="260"/>
      <c r="E29" s="241">
        <v>-11.233333333333334</v>
      </c>
      <c r="F29" s="241">
        <v>-11.233333333333334</v>
      </c>
      <c r="G29" s="241">
        <v>-11.233333333333334</v>
      </c>
      <c r="H29" s="241">
        <v>-11.233333333333334</v>
      </c>
      <c r="I29" s="185"/>
      <c r="J29" s="110">
        <f t="shared" si="2"/>
        <v>-11.233333333333334</v>
      </c>
      <c r="K29" s="109"/>
      <c r="M29" s="337"/>
    </row>
    <row r="30" spans="1:14" ht="27.75" thickBot="1" x14ac:dyDescent="0.3">
      <c r="A30" s="323"/>
      <c r="B30" s="258" t="s">
        <v>252</v>
      </c>
      <c r="C30" s="260"/>
      <c r="D30" s="260"/>
      <c r="E30" s="241">
        <v>0</v>
      </c>
      <c r="F30" s="241">
        <v>0</v>
      </c>
      <c r="G30" s="241">
        <v>0</v>
      </c>
      <c r="H30" s="241">
        <v>0</v>
      </c>
      <c r="I30" s="185"/>
      <c r="J30" s="110">
        <f t="shared" si="2"/>
        <v>0</v>
      </c>
      <c r="K30" s="109"/>
      <c r="M30" s="337"/>
    </row>
    <row r="31" spans="1:14" ht="27.75" customHeight="1" thickBot="1" x14ac:dyDescent="0.3">
      <c r="A31" s="323"/>
      <c r="B31" s="258" t="s">
        <v>253</v>
      </c>
      <c r="C31" s="260"/>
      <c r="D31" s="260"/>
      <c r="E31" s="241">
        <v>0</v>
      </c>
      <c r="F31" s="241">
        <v>0</v>
      </c>
      <c r="G31" s="241">
        <v>0</v>
      </c>
      <c r="H31" s="241">
        <v>0</v>
      </c>
      <c r="I31" s="185"/>
      <c r="J31" s="110">
        <f t="shared" si="2"/>
        <v>0</v>
      </c>
      <c r="K31" s="109"/>
      <c r="M31" s="337"/>
    </row>
    <row r="32" spans="1:14" ht="15.75" thickBot="1" x14ac:dyDescent="0.3">
      <c r="A32" s="125"/>
      <c r="B32" s="261" t="s">
        <v>62</v>
      </c>
      <c r="C32" s="262"/>
      <c r="D32" s="262"/>
      <c r="E32" s="248">
        <f>SUM(E26:E31)</f>
        <v>-444.50200000000012</v>
      </c>
      <c r="F32" s="248">
        <f>SUM(F26:F31)</f>
        <v>-385.90199999999999</v>
      </c>
      <c r="G32" s="248">
        <f>SUM(G26:G31)</f>
        <v>-369.10199999999998</v>
      </c>
      <c r="H32" s="248">
        <f>SUM(H26:H31)</f>
        <v>-367.20200000000006</v>
      </c>
      <c r="I32" s="186"/>
      <c r="J32" s="128">
        <f>AVERAGE(E32:H32)</f>
        <v>-391.67700000000002</v>
      </c>
      <c r="K32" s="127"/>
      <c r="L32" s="252"/>
    </row>
    <row r="33" spans="1:16" ht="15.75" thickBot="1" x14ac:dyDescent="0.3">
      <c r="A33" s="322"/>
      <c r="B33" s="258" t="s">
        <v>266</v>
      </c>
      <c r="C33" s="260"/>
      <c r="D33" s="260"/>
      <c r="E33" s="109">
        <v>0</v>
      </c>
      <c r="F33" s="109">
        <v>0</v>
      </c>
      <c r="G33" s="109">
        <v>0</v>
      </c>
      <c r="H33" s="109">
        <v>0</v>
      </c>
      <c r="I33" s="185"/>
      <c r="J33" s="110">
        <f>AVERAGE(E33:H33)</f>
        <v>0</v>
      </c>
      <c r="K33" s="109"/>
    </row>
    <row r="34" spans="1:16" ht="27.75" thickBot="1" x14ac:dyDescent="0.3">
      <c r="A34" s="322"/>
      <c r="B34" s="258" t="s">
        <v>65</v>
      </c>
      <c r="C34" s="260"/>
      <c r="D34" s="260"/>
      <c r="E34" s="109">
        <v>0</v>
      </c>
      <c r="F34" s="109">
        <v>0</v>
      </c>
      <c r="G34" s="109">
        <v>0</v>
      </c>
      <c r="H34" s="109">
        <v>0</v>
      </c>
      <c r="I34" s="185"/>
      <c r="J34" s="110">
        <f>AVERAGE(E34:H34)</f>
        <v>0</v>
      </c>
      <c r="K34" s="109"/>
    </row>
    <row r="35" spans="1:16" ht="15" customHeight="1" thickBot="1" x14ac:dyDescent="0.3">
      <c r="A35" s="623" t="s">
        <v>63</v>
      </c>
      <c r="B35" s="258" t="s">
        <v>275</v>
      </c>
      <c r="C35" s="260"/>
      <c r="D35" s="260"/>
      <c r="E35" s="109">
        <v>0</v>
      </c>
      <c r="F35" s="109">
        <v>0</v>
      </c>
      <c r="G35" s="109">
        <v>0</v>
      </c>
      <c r="H35" s="109">
        <v>0</v>
      </c>
      <c r="I35" s="185"/>
      <c r="J35" s="110">
        <f t="shared" ref="J35:J39" si="3">AVERAGE(E35:H35)</f>
        <v>0</v>
      </c>
      <c r="K35" s="109"/>
    </row>
    <row r="36" spans="1:16" ht="15.75" thickBot="1" x14ac:dyDescent="0.3">
      <c r="A36" s="623"/>
      <c r="B36" s="258" t="s">
        <v>64</v>
      </c>
      <c r="C36" s="260"/>
      <c r="D36" s="260"/>
      <c r="E36" s="109">
        <v>0</v>
      </c>
      <c r="F36" s="109">
        <v>0</v>
      </c>
      <c r="G36" s="109">
        <v>0</v>
      </c>
      <c r="H36" s="109">
        <v>0</v>
      </c>
      <c r="I36" s="185"/>
      <c r="J36" s="110">
        <f t="shared" si="3"/>
        <v>0</v>
      </c>
      <c r="K36" s="109"/>
    </row>
    <row r="37" spans="1:16" ht="21.95" customHeight="1" thickBot="1" x14ac:dyDescent="0.3">
      <c r="A37" s="623"/>
      <c r="B37" s="258" t="s">
        <v>66</v>
      </c>
      <c r="C37" s="260"/>
      <c r="D37" s="260"/>
      <c r="E37" s="109">
        <v>0</v>
      </c>
      <c r="F37" s="109">
        <v>0</v>
      </c>
      <c r="G37" s="109">
        <v>0</v>
      </c>
      <c r="H37" s="109">
        <v>0</v>
      </c>
      <c r="I37" s="185"/>
      <c r="J37" s="110">
        <f t="shared" si="3"/>
        <v>0</v>
      </c>
      <c r="K37" s="109"/>
      <c r="N37" s="330"/>
    </row>
    <row r="38" spans="1:16" ht="21.95" customHeight="1" thickBot="1" x14ac:dyDescent="0.3">
      <c r="A38" s="623"/>
      <c r="B38" s="258" t="s">
        <v>276</v>
      </c>
      <c r="C38" s="260"/>
      <c r="D38" s="260"/>
      <c r="E38" s="109">
        <v>0</v>
      </c>
      <c r="F38" s="109">
        <v>0</v>
      </c>
      <c r="G38" s="109">
        <v>0</v>
      </c>
      <c r="H38" s="109">
        <v>0</v>
      </c>
      <c r="I38" s="185"/>
      <c r="J38" s="110">
        <f t="shared" si="3"/>
        <v>0</v>
      </c>
      <c r="K38" s="109"/>
      <c r="N38" s="330"/>
    </row>
    <row r="39" spans="1:16" ht="21.95" customHeight="1" thickBot="1" x14ac:dyDescent="0.3">
      <c r="A39" s="322"/>
      <c r="B39" s="258" t="s">
        <v>277</v>
      </c>
      <c r="C39" s="260"/>
      <c r="D39" s="260"/>
      <c r="E39" s="109">
        <v>0</v>
      </c>
      <c r="F39" s="109">
        <v>0</v>
      </c>
      <c r="G39" s="109">
        <v>0</v>
      </c>
      <c r="H39" s="109">
        <v>0</v>
      </c>
      <c r="I39" s="185"/>
      <c r="J39" s="110">
        <f t="shared" si="3"/>
        <v>0</v>
      </c>
      <c r="K39" s="109"/>
      <c r="N39" s="330"/>
    </row>
    <row r="40" spans="1:16" ht="21.95" customHeight="1" thickBot="1" x14ac:dyDescent="0.3">
      <c r="A40" s="125"/>
      <c r="B40" s="261" t="s">
        <v>67</v>
      </c>
      <c r="C40" s="262"/>
      <c r="D40" s="262"/>
      <c r="E40" s="248">
        <f>SUM(E36:E37)</f>
        <v>0</v>
      </c>
      <c r="F40" s="248">
        <f>SUM(F36:F37)</f>
        <v>0</v>
      </c>
      <c r="G40" s="248">
        <f>SUM(G36:G37)</f>
        <v>0</v>
      </c>
      <c r="H40" s="248">
        <f>SUM(H36:H37)</f>
        <v>0</v>
      </c>
      <c r="I40" s="186"/>
      <c r="J40" s="128">
        <f>AVERAGE(E40:H40)</f>
        <v>0</v>
      </c>
      <c r="K40" s="127"/>
    </row>
    <row r="41" spans="1:16" ht="21.95" customHeight="1" thickBot="1" x14ac:dyDescent="0.3">
      <c r="A41" s="126" t="s">
        <v>68</v>
      </c>
      <c r="B41" s="258" t="s">
        <v>279</v>
      </c>
      <c r="C41" s="260"/>
      <c r="D41" s="260"/>
      <c r="E41" s="241">
        <v>1.4993338593489904</v>
      </c>
      <c r="F41" s="241">
        <v>1.4993338593489904</v>
      </c>
      <c r="G41" s="241">
        <v>1.4993338593489904</v>
      </c>
      <c r="H41" s="241">
        <v>1.4993338593489904</v>
      </c>
      <c r="I41" s="185"/>
      <c r="J41" s="110">
        <f t="shared" ref="J41:J44" si="4">AVERAGE(E41:H41)</f>
        <v>1.4993338593489904</v>
      </c>
      <c r="K41" s="109">
        <f>NPV(G2,E41:H41)</f>
        <v>5.7508638511292691</v>
      </c>
      <c r="M41" s="332"/>
      <c r="N41" s="332"/>
      <c r="O41" s="332"/>
      <c r="P41" s="332"/>
    </row>
    <row r="42" spans="1:16" ht="15.75" thickBot="1" x14ac:dyDescent="0.3">
      <c r="A42" s="125"/>
      <c r="B42" s="261" t="s">
        <v>280</v>
      </c>
      <c r="C42" s="262"/>
      <c r="D42" s="262"/>
      <c r="E42" s="248">
        <f>E41</f>
        <v>1.4993338593489904</v>
      </c>
      <c r="F42" s="248">
        <f t="shared" ref="F42:H42" si="5">F41</f>
        <v>1.4993338593489904</v>
      </c>
      <c r="G42" s="248">
        <f t="shared" si="5"/>
        <v>1.4993338593489904</v>
      </c>
      <c r="H42" s="248">
        <f t="shared" si="5"/>
        <v>1.4993338593489904</v>
      </c>
      <c r="I42" s="186"/>
      <c r="J42" s="128">
        <f>AVERAGE(E42:H42)</f>
        <v>1.4993338593489904</v>
      </c>
      <c r="K42" s="127"/>
    </row>
    <row r="43" spans="1:16" ht="15.75" thickBot="1" x14ac:dyDescent="0.3">
      <c r="B43"/>
      <c r="C43"/>
      <c r="D43"/>
      <c r="M43" s="332"/>
      <c r="N43" s="332"/>
      <c r="O43" s="332"/>
      <c r="P43" s="332"/>
    </row>
    <row r="44" spans="1:16" ht="15.75" thickBot="1" x14ac:dyDescent="0.3">
      <c r="A44" s="612" t="s">
        <v>302</v>
      </c>
      <c r="B44" s="258" t="s">
        <v>69</v>
      </c>
      <c r="C44" s="260"/>
      <c r="D44" s="260"/>
      <c r="E44" s="241">
        <v>0</v>
      </c>
      <c r="F44" s="241">
        <v>0</v>
      </c>
      <c r="G44" s="241">
        <v>0</v>
      </c>
      <c r="H44" s="241">
        <v>0</v>
      </c>
      <c r="I44" s="185"/>
      <c r="J44" s="110">
        <f t="shared" si="4"/>
        <v>0</v>
      </c>
      <c r="K44" s="109"/>
      <c r="L44" s="179"/>
    </row>
    <row r="45" spans="1:16" ht="15.75" thickBot="1" x14ac:dyDescent="0.3">
      <c r="A45" s="612"/>
      <c r="B45" s="258" t="s">
        <v>278</v>
      </c>
      <c r="C45" s="260"/>
      <c r="D45" s="260"/>
      <c r="E45" s="241">
        <v>0</v>
      </c>
      <c r="F45" s="241">
        <v>0</v>
      </c>
      <c r="G45" s="241">
        <v>0</v>
      </c>
      <c r="H45" s="241">
        <v>0</v>
      </c>
      <c r="I45" s="185"/>
      <c r="J45" s="110">
        <f>AVERAGE(E45:H45)</f>
        <v>0</v>
      </c>
      <c r="K45" s="109"/>
      <c r="L45" s="179"/>
      <c r="M45" s="345"/>
      <c r="N45" s="345"/>
      <c r="O45" s="345"/>
      <c r="P45" s="345"/>
    </row>
    <row r="46" spans="1:16" ht="30.75" customHeight="1" thickBot="1" x14ac:dyDescent="0.3">
      <c r="A46" s="612"/>
      <c r="B46" s="258" t="s">
        <v>320</v>
      </c>
      <c r="C46" s="260"/>
      <c r="D46" s="260"/>
      <c r="E46" s="241">
        <v>0</v>
      </c>
      <c r="F46" s="241">
        <v>0</v>
      </c>
      <c r="G46" s="241">
        <v>0</v>
      </c>
      <c r="H46" s="241">
        <v>0</v>
      </c>
      <c r="I46" s="185"/>
      <c r="J46" s="110">
        <f>AVERAGE(E46:H46)</f>
        <v>0</v>
      </c>
      <c r="K46" s="109"/>
      <c r="L46" s="179"/>
      <c r="M46" s="345"/>
      <c r="N46" s="345"/>
      <c r="O46" s="345"/>
      <c r="P46" s="345"/>
    </row>
    <row r="47" spans="1:16" ht="15.75" thickBot="1" x14ac:dyDescent="0.3">
      <c r="A47" s="106"/>
      <c r="I47" s="184"/>
    </row>
    <row r="48" spans="1:16" ht="15.75" thickBot="1" x14ac:dyDescent="0.3">
      <c r="A48" s="125"/>
      <c r="B48" s="121" t="s">
        <v>70</v>
      </c>
      <c r="C48" s="122"/>
      <c r="D48" s="122"/>
      <c r="E48" s="430">
        <f>E25+E32+E40+E42</f>
        <v>4212.4316309708774</v>
      </c>
      <c r="F48" s="123">
        <f>F25+F32+F40+F42</f>
        <v>4326.1205370315865</v>
      </c>
      <c r="G48" s="123">
        <f>G25+G32+G40+G42</f>
        <v>4435.0129861418491</v>
      </c>
      <c r="H48" s="123">
        <f>H25+H32+H40+H42</f>
        <v>4580.4125267773043</v>
      </c>
      <c r="I48" s="187"/>
      <c r="J48" s="124">
        <f>AVERAGE(E48:H48)</f>
        <v>4388.494420230405</v>
      </c>
      <c r="K48" s="124">
        <f>NPV($G$2,E48:H48)</f>
        <v>16822.767276522591</v>
      </c>
      <c r="L48" s="252"/>
      <c r="M48" s="345"/>
      <c r="N48" s="345"/>
      <c r="O48" s="345"/>
      <c r="P48" s="345"/>
    </row>
    <row r="49" spans="1:16" ht="15.75" thickBot="1" x14ac:dyDescent="0.3">
      <c r="I49" s="184"/>
    </row>
    <row r="50" spans="1:16" ht="41.25" thickBot="1" x14ac:dyDescent="0.3">
      <c r="A50" s="125"/>
      <c r="B50" s="116" t="s">
        <v>71</v>
      </c>
      <c r="C50" s="117">
        <v>2019</v>
      </c>
      <c r="D50" s="117">
        <v>2020</v>
      </c>
      <c r="E50" s="117">
        <v>2021</v>
      </c>
      <c r="F50" s="117">
        <v>2022</v>
      </c>
      <c r="G50" s="117">
        <v>2023</v>
      </c>
      <c r="H50" s="117">
        <v>2024</v>
      </c>
      <c r="I50" s="181">
        <v>2025</v>
      </c>
      <c r="J50" s="117" t="s">
        <v>267</v>
      </c>
      <c r="K50" s="117" t="s">
        <v>299</v>
      </c>
      <c r="M50" s="346"/>
      <c r="N50" s="346"/>
      <c r="O50" s="346"/>
      <c r="P50" s="346"/>
    </row>
    <row r="51" spans="1:16" ht="27.75" thickBot="1" x14ac:dyDescent="0.3">
      <c r="B51" s="261" t="s">
        <v>293</v>
      </c>
      <c r="C51" s="262"/>
      <c r="D51" s="262"/>
      <c r="E51" s="128">
        <v>4338.460820074094</v>
      </c>
      <c r="F51" s="128">
        <v>4336.675984329413</v>
      </c>
      <c r="G51" s="128">
        <v>4342.1154394147261</v>
      </c>
      <c r="H51" s="128">
        <v>4351.4952657459744</v>
      </c>
      <c r="I51" s="128">
        <f>I52+I53</f>
        <v>4395.3493035702249</v>
      </c>
      <c r="J51" s="128">
        <f t="shared" ref="J51" si="6">AVERAGE(E51:H51)</f>
        <v>4342.1868773910519</v>
      </c>
      <c r="K51" s="127"/>
    </row>
    <row r="52" spans="1:16" ht="15.75" thickBot="1" x14ac:dyDescent="0.3">
      <c r="B52" s="130" t="s">
        <v>72</v>
      </c>
      <c r="C52" s="260"/>
      <c r="D52" s="260"/>
      <c r="E52" s="429">
        <v>2530.7688117098883</v>
      </c>
      <c r="F52" s="429">
        <v>2529.7276575254909</v>
      </c>
      <c r="G52" s="429">
        <v>2532.9006729919238</v>
      </c>
      <c r="H52" s="429">
        <v>2538.3722383518184</v>
      </c>
      <c r="I52" s="111">
        <f>H52*(1+$I$56)</f>
        <v>2563.9537604159646</v>
      </c>
      <c r="J52" s="132">
        <f>AVERAGE(E52:H52)</f>
        <v>2532.9423451447801</v>
      </c>
      <c r="K52" s="109"/>
    </row>
    <row r="53" spans="1:16" ht="15.75" thickBot="1" x14ac:dyDescent="0.3">
      <c r="B53" s="130" t="s">
        <v>73</v>
      </c>
      <c r="C53" s="260"/>
      <c r="D53" s="260"/>
      <c r="E53" s="339">
        <v>1807.692008364206</v>
      </c>
      <c r="F53" s="339">
        <v>1806.9483268039221</v>
      </c>
      <c r="G53" s="339">
        <v>1809.2147664228025</v>
      </c>
      <c r="H53" s="339">
        <v>1813.123027394156</v>
      </c>
      <c r="I53" s="111">
        <f>H53*(1+$I$56)</f>
        <v>1831.3955431542604</v>
      </c>
      <c r="J53" s="132">
        <f>AVERAGE(E53:H53)</f>
        <v>1809.2445322462718</v>
      </c>
      <c r="K53" s="110"/>
    </row>
    <row r="54" spans="1:16" ht="27.75" thickBot="1" x14ac:dyDescent="0.3">
      <c r="B54" s="258" t="s">
        <v>294</v>
      </c>
      <c r="C54" s="260"/>
      <c r="D54" s="260"/>
      <c r="E54" s="449">
        <f>E51+E55</f>
        <v>4173.1654628292708</v>
      </c>
      <c r="F54" s="449">
        <f t="shared" ref="F54:I54" si="7">F51+F55</f>
        <v>4169.7139589327307</v>
      </c>
      <c r="G54" s="449">
        <f t="shared" si="7"/>
        <v>4172.772937277552</v>
      </c>
      <c r="H54" s="449">
        <f t="shared" si="7"/>
        <v>4179.1760532224334</v>
      </c>
      <c r="I54" s="185">
        <f t="shared" si="7"/>
        <v>4224.8275581993203</v>
      </c>
      <c r="J54" s="110">
        <f t="shared" ref="J54" si="8">AVERAGE(E54:H54)</f>
        <v>4173.707103065497</v>
      </c>
      <c r="K54" s="109"/>
    </row>
    <row r="55" spans="1:16" ht="15.75" thickBot="1" x14ac:dyDescent="0.3">
      <c r="B55" s="130" t="s">
        <v>74</v>
      </c>
      <c r="C55" s="260"/>
      <c r="D55" s="260"/>
      <c r="E55" s="427">
        <f>E85*E51</f>
        <v>-165.29535724482298</v>
      </c>
      <c r="F55" s="111">
        <f>F85*F51</f>
        <v>-166.96202539668241</v>
      </c>
      <c r="G55" s="111">
        <f>G85*G51</f>
        <v>-169.34250213717431</v>
      </c>
      <c r="H55" s="111">
        <f>H85*H51</f>
        <v>-172.31921252354061</v>
      </c>
      <c r="I55" s="111">
        <f>I85*I51</f>
        <v>-170.52174537090474</v>
      </c>
      <c r="J55" s="132"/>
      <c r="K55" s="110"/>
    </row>
    <row r="56" spans="1:16" ht="15.75" thickBot="1" x14ac:dyDescent="0.3">
      <c r="B56" s="448" t="s">
        <v>310</v>
      </c>
      <c r="C56" s="134"/>
      <c r="D56" s="134"/>
      <c r="E56" s="135"/>
      <c r="F56" s="136">
        <f>F7+$G$3</f>
        <v>1.492207617242269E-2</v>
      </c>
      <c r="G56" s="136">
        <f>G7+$G$3</f>
        <v>1.6922076172422688E-2</v>
      </c>
      <c r="H56" s="136">
        <f>H7+$G$3</f>
        <v>1.9922076172422691E-2</v>
      </c>
      <c r="I56" s="188">
        <f>H7-$G$3</f>
        <v>1.007792382757731E-2</v>
      </c>
      <c r="J56" s="135"/>
      <c r="K56" s="109"/>
      <c r="L56" s="252"/>
    </row>
    <row r="57" spans="1:16" ht="15.75" thickBot="1" x14ac:dyDescent="0.3">
      <c r="B57" s="448" t="s">
        <v>309</v>
      </c>
      <c r="C57" s="134"/>
      <c r="D57" s="134">
        <v>1</v>
      </c>
      <c r="E57" s="135">
        <v>1</v>
      </c>
      <c r="F57" s="137">
        <f>E57*(1+F56)</f>
        <v>1.0149220761724227</v>
      </c>
      <c r="G57" s="137">
        <f>F57*(1+G56)</f>
        <v>1.0320966648544858</v>
      </c>
      <c r="H57" s="137">
        <f>G57*(1+H56)</f>
        <v>1.0526581732290201</v>
      </c>
      <c r="I57" s="189">
        <f>H57*(1+I56)</f>
        <v>1.0632667821152988</v>
      </c>
      <c r="J57" s="135"/>
      <c r="K57" s="109"/>
      <c r="L57" s="252"/>
    </row>
    <row r="58" spans="1:16" ht="27.75" thickBot="1" x14ac:dyDescent="0.3">
      <c r="B58" s="261" t="s">
        <v>295</v>
      </c>
      <c r="C58" s="262"/>
      <c r="D58" s="262"/>
      <c r="E58" s="127">
        <f>(7/12*D57+5/12*E57)*E54</f>
        <v>4173.1654628292708</v>
      </c>
      <c r="F58" s="127">
        <f t="shared" ref="F58:H58" si="9">(7/12*E57+5/12*F57)*F54</f>
        <v>4195.6392878129018</v>
      </c>
      <c r="G58" s="127">
        <f>(7/12*F57+5/12*G57)*G54</f>
        <v>4264.9000640900758</v>
      </c>
      <c r="H58" s="127">
        <f t="shared" si="9"/>
        <v>4349.1179011276845</v>
      </c>
      <c r="I58" s="186">
        <f>I62+I63</f>
        <v>4465.9740692787636</v>
      </c>
      <c r="J58" s="128">
        <f t="shared" ref="J58:J61" si="10">AVERAGE(E58:H58)</f>
        <v>4245.7056789649832</v>
      </c>
      <c r="K58" s="127"/>
    </row>
    <row r="59" spans="1:16" ht="15.75" thickBot="1" x14ac:dyDescent="0.3">
      <c r="B59" s="261" t="s">
        <v>297</v>
      </c>
      <c r="C59" s="262"/>
      <c r="D59" s="262"/>
      <c r="E59" s="127">
        <f>E58+E60</f>
        <v>4275.4405568292705</v>
      </c>
      <c r="F59" s="127">
        <f t="shared" ref="F59:I59" si="11">F58+F60</f>
        <v>4297.3003598129017</v>
      </c>
      <c r="G59" s="127">
        <f t="shared" si="11"/>
        <v>4366.7055110900756</v>
      </c>
      <c r="H59" s="127">
        <f t="shared" si="11"/>
        <v>4451.1585771276841</v>
      </c>
      <c r="I59" s="186">
        <f t="shared" si="11"/>
        <v>4562.574069278764</v>
      </c>
      <c r="J59" s="128">
        <f t="shared" si="10"/>
        <v>4347.6512512149829</v>
      </c>
      <c r="K59" s="127">
        <f>NPV($G$2,E59:H59)</f>
        <v>16671.093373187403</v>
      </c>
    </row>
    <row r="60" spans="1:16" ht="15.75" thickBot="1" x14ac:dyDescent="0.3">
      <c r="B60" s="130" t="s">
        <v>75</v>
      </c>
      <c r="C60" s="260"/>
      <c r="D60" s="260"/>
      <c r="E60" s="339">
        <v>102.275094</v>
      </c>
      <c r="F60" s="339">
        <v>101.661072</v>
      </c>
      <c r="G60" s="339">
        <v>101.805447</v>
      </c>
      <c r="H60" s="339">
        <v>102.040676</v>
      </c>
      <c r="I60" s="111">
        <v>96.600000000000009</v>
      </c>
      <c r="J60" s="132">
        <f>AVERAGE(E60:H60)</f>
        <v>101.94557225000001</v>
      </c>
      <c r="K60" s="110"/>
    </row>
    <row r="61" spans="1:16" ht="27.75" thickBot="1" x14ac:dyDescent="0.3">
      <c r="B61" s="261" t="s">
        <v>296</v>
      </c>
      <c r="C61" s="262"/>
      <c r="D61" s="262"/>
      <c r="E61" s="127">
        <f>E63</f>
        <v>1738.8189428455296</v>
      </c>
      <c r="F61" s="127">
        <f>F62+F63</f>
        <v>4195.6392878129009</v>
      </c>
      <c r="G61" s="127">
        <f t="shared" ref="G61:H61" si="12">G62+G63</f>
        <v>4264.9000640900767</v>
      </c>
      <c r="H61" s="127">
        <f t="shared" si="12"/>
        <v>4349.1179011276845</v>
      </c>
      <c r="I61" s="186">
        <f t="shared" ref="I61" si="13">I58</f>
        <v>4465.9740692787636</v>
      </c>
      <c r="J61" s="128">
        <f t="shared" si="10"/>
        <v>3637.119048969048</v>
      </c>
      <c r="K61" s="127">
        <f>NPV($G$2,E61:H61)</f>
        <v>13886.410623466307</v>
      </c>
    </row>
    <row r="62" spans="1:16" ht="15.75" thickBot="1" x14ac:dyDescent="0.3">
      <c r="B62" s="130" t="s">
        <v>72</v>
      </c>
      <c r="C62" s="260"/>
      <c r="D62" s="260"/>
      <c r="E62" s="131">
        <f>7/12*E54*D57</f>
        <v>2434.3465199837415</v>
      </c>
      <c r="F62" s="131">
        <f>7/12*F54*E57</f>
        <v>2432.3331427107596</v>
      </c>
      <c r="G62" s="131">
        <f>7/12*G54*F57</f>
        <v>2470.4396341904021</v>
      </c>
      <c r="H62" s="131">
        <f>7/12*H54*G57</f>
        <v>2516.0996387161877</v>
      </c>
      <c r="I62" s="111">
        <f>7/12*I54*H57</f>
        <v>2594.2579014460025</v>
      </c>
      <c r="J62" s="132">
        <f>AVERAGE(E62:H62)</f>
        <v>2463.3047339002728</v>
      </c>
      <c r="K62" s="109"/>
    </row>
    <row r="63" spans="1:16" ht="15.75" thickBot="1" x14ac:dyDescent="0.3">
      <c r="B63" s="130" t="s">
        <v>73</v>
      </c>
      <c r="C63" s="260"/>
      <c r="D63" s="260"/>
      <c r="E63" s="131">
        <f>5/12*E54*E57</f>
        <v>1738.8189428455296</v>
      </c>
      <c r="F63" s="131">
        <f>5/12*F54*F57</f>
        <v>1763.3061451021413</v>
      </c>
      <c r="G63" s="131">
        <f>5/12*G54*G57</f>
        <v>1794.4604298996744</v>
      </c>
      <c r="H63" s="131">
        <f>5/12*H54*H57</f>
        <v>1833.0182624114971</v>
      </c>
      <c r="I63" s="111">
        <f>5/12*I54*I57</f>
        <v>1871.7161678327611</v>
      </c>
      <c r="J63" s="132">
        <f t="shared" ref="J63" si="14">AVERAGE(E63:H63)</f>
        <v>1782.4009450647106</v>
      </c>
      <c r="K63" s="110"/>
    </row>
    <row r="64" spans="1:16" ht="15.75" thickBot="1" x14ac:dyDescent="0.3">
      <c r="B64" s="448" t="s">
        <v>306</v>
      </c>
      <c r="C64" s="613"/>
      <c r="D64" s="614"/>
      <c r="E64" s="136">
        <f>E7+G3</f>
        <v>1.092207617242269E-2</v>
      </c>
      <c r="F64" s="136">
        <f>F7+$G$3</f>
        <v>1.492207617242269E-2</v>
      </c>
      <c r="G64" s="136">
        <f>G7+$G$3</f>
        <v>1.6922076172422688E-2</v>
      </c>
      <c r="H64" s="136">
        <f>H7+$G$3</f>
        <v>1.9922076172422691E-2</v>
      </c>
      <c r="I64" s="188">
        <f>H7-$G$3</f>
        <v>1.007792382757731E-2</v>
      </c>
      <c r="J64" s="135"/>
      <c r="K64" s="109"/>
      <c r="L64" s="252"/>
    </row>
    <row r="65" spans="2:16" ht="26.25" thickBot="1" x14ac:dyDescent="0.3">
      <c r="B65" s="448" t="s">
        <v>307</v>
      </c>
      <c r="C65" s="134"/>
      <c r="D65" s="134">
        <v>1</v>
      </c>
      <c r="E65" s="137">
        <f>D65*(1+E64)</f>
        <v>1.0109220761724227</v>
      </c>
      <c r="F65" s="137">
        <f>E65*(1+F64)</f>
        <v>1.0260071323974513</v>
      </c>
      <c r="G65" s="137">
        <f>F65*(1+G64)</f>
        <v>1.0433693032453299</v>
      </c>
      <c r="H65" s="137">
        <f>G65*(1+H64)</f>
        <v>1.0641553859805508</v>
      </c>
      <c r="I65" s="189">
        <f>H65*(1+I64)</f>
        <v>1.0748798629011689</v>
      </c>
      <c r="J65" s="135"/>
      <c r="K65" s="109"/>
      <c r="L65" s="252"/>
    </row>
    <row r="66" spans="2:16" ht="15.75" thickBot="1" x14ac:dyDescent="0.3">
      <c r="F66" s="141"/>
      <c r="I66" s="184"/>
      <c r="L66" s="180"/>
      <c r="M66" s="180"/>
      <c r="N66" s="180"/>
      <c r="O66" s="180"/>
      <c r="P66" s="180"/>
    </row>
    <row r="67" spans="2:16" ht="27.75" thickBot="1" x14ac:dyDescent="0.3">
      <c r="B67" s="121" t="s">
        <v>76</v>
      </c>
      <c r="C67" s="122"/>
      <c r="D67" s="122"/>
      <c r="E67" s="123">
        <f>E68+E69</f>
        <v>4358.2045698857273</v>
      </c>
      <c r="F67" s="123">
        <f>F68+F69</f>
        <v>4411.299406870934</v>
      </c>
      <c r="G67" s="123">
        <f>G68+G69</f>
        <v>4486.4533064077405</v>
      </c>
      <c r="H67" s="123">
        <f>H68+H69</f>
        <v>4577.9043087532782</v>
      </c>
      <c r="I67" s="187">
        <f>I68+I69</f>
        <v>4696.975393895199</v>
      </c>
      <c r="J67" s="124">
        <f>AVERAGE(E67:H67)</f>
        <v>4458.4653979794202</v>
      </c>
      <c r="K67" s="123"/>
      <c r="L67" s="180"/>
      <c r="M67" s="180"/>
      <c r="N67" s="180"/>
      <c r="O67" s="180"/>
      <c r="P67" s="180"/>
    </row>
    <row r="68" spans="2:16" ht="15.75" thickBot="1" x14ac:dyDescent="0.3">
      <c r="B68" s="142" t="s">
        <v>72</v>
      </c>
      <c r="C68" s="621"/>
      <c r="D68" s="622"/>
      <c r="E68" s="428">
        <f>E52*D65</f>
        <v>2530.7688117098883</v>
      </c>
      <c r="F68" s="144">
        <f>F52*E65</f>
        <v>2557.3575356964689</v>
      </c>
      <c r="G68" s="144">
        <f>G52*F65</f>
        <v>2598.7741561440184</v>
      </c>
      <c r="H68" s="144">
        <f>H52*G65</f>
        <v>2648.4596737064253</v>
      </c>
      <c r="I68" s="190">
        <f>I52*H65</f>
        <v>2728.4452035517356</v>
      </c>
      <c r="J68" s="145">
        <f>AVERAGE(E68:H68)</f>
        <v>2583.8400443142004</v>
      </c>
      <c r="K68" s="146"/>
      <c r="L68" s="180"/>
      <c r="M68" s="180"/>
      <c r="N68" s="180"/>
      <c r="O68" s="180"/>
      <c r="P68" s="180"/>
    </row>
    <row r="69" spans="2:16" ht="15.75" thickBot="1" x14ac:dyDescent="0.3">
      <c r="B69" s="142" t="s">
        <v>73</v>
      </c>
      <c r="C69" s="143"/>
      <c r="D69" s="143"/>
      <c r="E69" s="428">
        <f>E53*E65</f>
        <v>1827.4357581758395</v>
      </c>
      <c r="F69" s="144">
        <f>F53*F65</f>
        <v>1853.9418711744649</v>
      </c>
      <c r="G69" s="144">
        <f>G53*G65</f>
        <v>1887.6791502637218</v>
      </c>
      <c r="H69" s="144">
        <f>H53*H65</f>
        <v>1929.4446350468529</v>
      </c>
      <c r="I69" s="190">
        <f>I53*I65</f>
        <v>1968.5301903434631</v>
      </c>
      <c r="J69" s="145">
        <f t="shared" ref="J69" si="15">AVERAGE(E69:H69)</f>
        <v>1874.6253536652198</v>
      </c>
      <c r="K69" s="147"/>
      <c r="L69" s="180"/>
      <c r="N69" s="180"/>
      <c r="O69" s="180"/>
      <c r="P69" s="180"/>
    </row>
    <row r="70" spans="2:16" ht="15.75" thickBot="1" x14ac:dyDescent="0.3">
      <c r="B70" s="121" t="s">
        <v>77</v>
      </c>
      <c r="C70" s="122"/>
      <c r="D70" s="122"/>
      <c r="E70" s="430">
        <f>E67*(1+E85)+E60</f>
        <v>4294.4320697730809</v>
      </c>
      <c r="F70" s="424">
        <f>F67*(1+F85)+F60</f>
        <v>4343.1254517064026</v>
      </c>
      <c r="G70" s="123">
        <f>G67*(1+G85)+G60</f>
        <v>4413.2870744578386</v>
      </c>
      <c r="H70" s="123">
        <f>H67*(1+H85)+H60</f>
        <v>4498.6599741266482</v>
      </c>
      <c r="I70" s="187">
        <f t="shared" ref="I70" si="16">I67*(1-4.39%)+I60</f>
        <v>4587.3781741031999</v>
      </c>
      <c r="J70" s="124">
        <f>AVERAGE(E70:H70)</f>
        <v>4387.3761425159928</v>
      </c>
      <c r="K70" s="124">
        <f>NPV($G$2,E70:H70)</f>
        <v>16822.761807778439</v>
      </c>
      <c r="L70" s="341"/>
      <c r="M70" s="426"/>
      <c r="N70" s="593"/>
      <c r="O70" s="340"/>
      <c r="P70" s="340"/>
    </row>
    <row r="71" spans="2:16" ht="23.25" customHeight="1" thickBot="1" x14ac:dyDescent="0.3">
      <c r="E71" s="431"/>
      <c r="F71" s="571">
        <f>(F68+(1-0.01%)/E65*F69)*(1+F85)+F60</f>
        <v>4323.6901570597865</v>
      </c>
      <c r="I71" s="191"/>
      <c r="J71" s="141"/>
    </row>
    <row r="72" spans="2:16" ht="27.75" thickBot="1" x14ac:dyDescent="0.3">
      <c r="B72" s="258" t="s">
        <v>78</v>
      </c>
      <c r="C72" s="260"/>
      <c r="D72" s="260"/>
      <c r="E72" s="109">
        <f>E70-E48</f>
        <v>82.000438802203462</v>
      </c>
      <c r="F72" s="109">
        <f t="shared" ref="F72:G72" si="17">F70-F48</f>
        <v>17.004914674816064</v>
      </c>
      <c r="G72" s="109">
        <f t="shared" si="17"/>
        <v>-21.725911684010498</v>
      </c>
      <c r="H72" s="109">
        <f>H70-H48</f>
        <v>-81.752552650656071</v>
      </c>
      <c r="I72" s="185"/>
      <c r="J72" s="110">
        <f>AVERAGE(E72:H72)</f>
        <v>-1.1182777144117608</v>
      </c>
      <c r="K72" s="110">
        <f>NPV($G$2,E72:H72)</f>
        <v>-5.4687441478405352E-3</v>
      </c>
      <c r="L72" s="252"/>
    </row>
    <row r="73" spans="2:16" ht="15.75" thickBot="1" x14ac:dyDescent="0.3"/>
    <row r="74" spans="2:16" ht="15.75" thickBot="1" x14ac:dyDescent="0.3">
      <c r="B74" s="618" t="s">
        <v>311</v>
      </c>
      <c r="C74" s="619"/>
      <c r="D74" s="619"/>
      <c r="E74" s="619"/>
      <c r="F74" s="619"/>
      <c r="G74" s="619"/>
      <c r="H74" s="619"/>
      <c r="I74" s="619"/>
      <c r="J74" s="619"/>
      <c r="K74" s="620"/>
      <c r="L74" s="192"/>
      <c r="M74" s="193"/>
    </row>
    <row r="75" spans="2:16" ht="15.75" thickBot="1" x14ac:dyDescent="0.3">
      <c r="B75" s="235"/>
      <c r="C75" s="350"/>
      <c r="D75" s="350"/>
      <c r="E75" s="351"/>
      <c r="F75" s="352"/>
      <c r="G75" s="352"/>
      <c r="H75" s="352"/>
      <c r="I75" s="353"/>
      <c r="J75" s="352"/>
      <c r="K75" s="356"/>
      <c r="L75" s="193"/>
      <c r="M75" s="193"/>
    </row>
    <row r="76" spans="2:16" ht="15.75" thickBot="1" x14ac:dyDescent="0.3">
      <c r="B76" s="235" t="s">
        <v>79</v>
      </c>
      <c r="C76" s="610"/>
      <c r="D76" s="611"/>
      <c r="E76" s="117">
        <v>2021</v>
      </c>
      <c r="F76" s="117">
        <v>2022</v>
      </c>
      <c r="G76" s="117">
        <v>2023</v>
      </c>
      <c r="H76" s="117">
        <v>2024</v>
      </c>
      <c r="I76" s="354">
        <v>2025</v>
      </c>
      <c r="J76" s="355"/>
      <c r="K76" s="193"/>
      <c r="M76" s="193"/>
    </row>
    <row r="77" spans="2:16" ht="25.5" customHeight="1" thickBot="1" x14ac:dyDescent="0.3">
      <c r="B77" s="130" t="s">
        <v>312</v>
      </c>
      <c r="C77" s="610"/>
      <c r="D77" s="611"/>
      <c r="E77" s="132">
        <f>E52*(1+E85)</f>
        <v>2434.3465199837415</v>
      </c>
      <c r="F77" s="132">
        <f>F52*(1+F85)</f>
        <v>2432.3331427107596</v>
      </c>
      <c r="G77" s="132">
        <f>G52*(1+G85)</f>
        <v>2434.1175467452385</v>
      </c>
      <c r="H77" s="132">
        <f>H52*(1+H85)</f>
        <v>2437.8526977130864</v>
      </c>
      <c r="I77" s="132">
        <f>I52*(1-4.39%)*(1+$G$4)</f>
        <v>2478.1705262533151</v>
      </c>
      <c r="J77" s="450">
        <f>J52*(1-I85)*(1+$G$4)</f>
        <v>2659.9485247395237</v>
      </c>
      <c r="K77" s="356"/>
      <c r="L77" s="193"/>
      <c r="M77" s="193"/>
    </row>
    <row r="78" spans="2:16" ht="15.75" thickBot="1" x14ac:dyDescent="0.3">
      <c r="B78" s="130" t="s">
        <v>73</v>
      </c>
      <c r="C78" s="610"/>
      <c r="D78" s="611"/>
      <c r="E78" s="131">
        <f>E53*(1-4.39%)*(1+$G$4)</f>
        <v>1747.2113283919202</v>
      </c>
      <c r="F78" s="131">
        <f>F53*(1-4.39%)*(1+$G$4)</f>
        <v>1746.4925284852811</v>
      </c>
      <c r="G78" s="131">
        <f>G53*(1-4.39%)*(1+$G$4)</f>
        <v>1748.6831389205222</v>
      </c>
      <c r="H78" s="131">
        <f>H53*(1-4.39%)*(1+$G$4)</f>
        <v>1752.460639629639</v>
      </c>
      <c r="I78" s="131">
        <f>I53*(1-4.39%)*(1+$G$4)</f>
        <v>1770.1218044666537</v>
      </c>
      <c r="J78" s="355"/>
      <c r="K78" s="357"/>
      <c r="L78" s="193"/>
      <c r="M78" s="193"/>
    </row>
    <row r="79" spans="2:16" ht="28.5" customHeight="1" thickBot="1" x14ac:dyDescent="0.3">
      <c r="B79" s="235" t="s">
        <v>80</v>
      </c>
      <c r="C79" s="610"/>
      <c r="D79" s="611"/>
      <c r="E79" s="153"/>
      <c r="F79" s="131"/>
      <c r="G79" s="131"/>
      <c r="H79" s="131"/>
      <c r="I79" s="111"/>
      <c r="J79" s="355"/>
      <c r="K79" s="356"/>
    </row>
    <row r="80" spans="2:16" ht="15.75" thickBot="1" x14ac:dyDescent="0.3">
      <c r="B80" s="130" t="s">
        <v>72</v>
      </c>
      <c r="C80" s="610"/>
      <c r="D80" s="611"/>
      <c r="E80" s="132">
        <f>E77+7/12*E60</f>
        <v>2494.0069914837413</v>
      </c>
      <c r="F80" s="132">
        <f>F77+7/12*F60</f>
        <v>2491.6354347107595</v>
      </c>
      <c r="G80" s="132">
        <f>G77+7/12*G60</f>
        <v>2493.5040574952386</v>
      </c>
      <c r="H80" s="132">
        <f t="shared" ref="H80:J80" si="18">H77+7/12*H60</f>
        <v>2497.3764253797531</v>
      </c>
      <c r="I80" s="132">
        <f t="shared" si="18"/>
        <v>2534.520526253315</v>
      </c>
      <c r="J80" s="450">
        <f t="shared" si="18"/>
        <v>2719.4167752186904</v>
      </c>
      <c r="K80" s="356"/>
    </row>
    <row r="81" spans="2:11" ht="15.75" thickBot="1" x14ac:dyDescent="0.3">
      <c r="B81" s="130" t="s">
        <v>73</v>
      </c>
      <c r="C81" s="610"/>
      <c r="D81" s="611"/>
      <c r="E81" s="131">
        <f>E78+5/12*E60</f>
        <v>1789.8259508919202</v>
      </c>
      <c r="F81" s="131">
        <f>F78+5/12*F60</f>
        <v>1788.8513084852812</v>
      </c>
      <c r="G81" s="131">
        <f>G78+5/12*G60</f>
        <v>1791.1020751705223</v>
      </c>
      <c r="H81" s="131">
        <f>H78+5/12*H60</f>
        <v>1794.9775879629724</v>
      </c>
      <c r="I81" s="131">
        <f>I78+5/12*I60</f>
        <v>1810.3718044666537</v>
      </c>
      <c r="J81" s="355"/>
      <c r="K81" s="357"/>
    </row>
    <row r="82" spans="2:11" ht="15.75" thickBot="1" x14ac:dyDescent="0.3">
      <c r="E82" s="141">
        <f>E80+E81</f>
        <v>4283.8329423756613</v>
      </c>
      <c r="F82" s="141">
        <f>F80+F81</f>
        <v>4280.4867431960411</v>
      </c>
      <c r="G82" s="141">
        <f t="shared" ref="G82:I82" si="19">G80+G81</f>
        <v>4284.6061326657609</v>
      </c>
      <c r="H82" s="141">
        <f t="shared" si="19"/>
        <v>4292.354013342725</v>
      </c>
      <c r="I82" s="141">
        <f t="shared" si="19"/>
        <v>4344.8923307199684</v>
      </c>
      <c r="K82" s="124">
        <f>NPV($G$2,E82:H82)</f>
        <v>16436.588881741965</v>
      </c>
    </row>
    <row r="83" spans="2:11" ht="15.75" thickBot="1" x14ac:dyDescent="0.3"/>
    <row r="84" spans="2:11" ht="27.75" thickBot="1" x14ac:dyDescent="0.3">
      <c r="E84" s="117">
        <v>2021</v>
      </c>
      <c r="F84" s="117">
        <v>2022</v>
      </c>
      <c r="G84" s="117">
        <v>2023</v>
      </c>
      <c r="H84" s="117">
        <v>2024</v>
      </c>
      <c r="I84" s="354" t="s">
        <v>313</v>
      </c>
    </row>
    <row r="85" spans="2:11" ht="15.75" thickBot="1" x14ac:dyDescent="0.3">
      <c r="B85" s="382" t="s">
        <v>326</v>
      </c>
      <c r="C85" s="383"/>
      <c r="D85" s="384"/>
      <c r="E85" s="381">
        <v>-3.8100000000000002E-2</v>
      </c>
      <c r="F85" s="381">
        <v>-3.85E-2</v>
      </c>
      <c r="G85" s="381">
        <v>-3.9E-2</v>
      </c>
      <c r="H85" s="381">
        <v>-3.9600000000000003E-2</v>
      </c>
      <c r="I85" s="381">
        <f>-GEOMEAN(ABS(E85),ABS(F85),ABS(G85),ABS(H85))</f>
        <v>-3.879594853414596E-2</v>
      </c>
    </row>
  </sheetData>
  <mergeCells count="17">
    <mergeCell ref="A7:A8"/>
    <mergeCell ref="C77:D77"/>
    <mergeCell ref="B74:K74"/>
    <mergeCell ref="C68:D68"/>
    <mergeCell ref="A11:A24"/>
    <mergeCell ref="A26:A29"/>
    <mergeCell ref="A35:A38"/>
    <mergeCell ref="D2:F2"/>
    <mergeCell ref="D3:F3"/>
    <mergeCell ref="D4:F4"/>
    <mergeCell ref="C76:D76"/>
    <mergeCell ref="C78:D78"/>
    <mergeCell ref="C80:D80"/>
    <mergeCell ref="C81:D81"/>
    <mergeCell ref="A44:A46"/>
    <mergeCell ref="C79:D79"/>
    <mergeCell ref="C64:D6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2:M188"/>
  <sheetViews>
    <sheetView topLeftCell="A177" zoomScale="110" workbookViewId="0">
      <selection activeCell="G26" sqref="G26"/>
    </sheetView>
  </sheetViews>
  <sheetFormatPr baseColWidth="10" defaultColWidth="11.28515625" defaultRowHeight="15" x14ac:dyDescent="0.25"/>
  <cols>
    <col min="2" max="2" width="12.28515625" customWidth="1"/>
    <col min="3" max="3" width="13.28515625" customWidth="1"/>
    <col min="4" max="4" width="27.85546875" customWidth="1"/>
    <col min="5" max="5" width="2.7109375" customWidth="1"/>
    <col min="6" max="6" width="34.140625" customWidth="1"/>
    <col min="11" max="11" width="10" customWidth="1"/>
  </cols>
  <sheetData>
    <row r="2" spans="1:13" ht="15.75" x14ac:dyDescent="0.3">
      <c r="A2" s="72" t="s">
        <v>81</v>
      </c>
      <c r="B2" s="79"/>
      <c r="C2" s="76"/>
      <c r="D2" s="83"/>
      <c r="E2" s="96"/>
      <c r="F2" s="96"/>
      <c r="G2" s="96"/>
    </row>
    <row r="3" spans="1:13" ht="15.75" x14ac:dyDescent="0.3">
      <c r="A3" s="70" t="s">
        <v>82</v>
      </c>
      <c r="B3" s="78"/>
      <c r="C3" s="75"/>
      <c r="D3" s="82"/>
    </row>
    <row r="4" spans="1:13" ht="15.75" x14ac:dyDescent="0.3">
      <c r="A4" s="71" t="s">
        <v>83</v>
      </c>
      <c r="B4" s="81"/>
      <c r="C4" s="77"/>
      <c r="D4" s="84"/>
      <c r="E4" s="179"/>
    </row>
    <row r="5" spans="1:13" ht="15.75" thickBot="1" x14ac:dyDescent="0.3"/>
    <row r="6" spans="1:13" ht="27.75" customHeight="1" thickBot="1" x14ac:dyDescent="0.3">
      <c r="A6" s="95"/>
      <c r="B6" s="624" t="s">
        <v>84</v>
      </c>
      <c r="C6" s="625"/>
      <c r="D6" s="626"/>
      <c r="F6" s="100" t="s">
        <v>85</v>
      </c>
      <c r="G6" s="99">
        <v>2020</v>
      </c>
      <c r="H6" s="99">
        <v>2021</v>
      </c>
      <c r="I6" s="99">
        <v>2022</v>
      </c>
      <c r="J6" s="99">
        <v>2023</v>
      </c>
      <c r="K6" s="99">
        <v>2024</v>
      </c>
      <c r="L6" s="98">
        <v>2025</v>
      </c>
    </row>
    <row r="7" spans="1:13" ht="28.5" customHeight="1" thickBot="1" x14ac:dyDescent="0.3">
      <c r="A7" s="95"/>
      <c r="B7" s="627" t="s">
        <v>86</v>
      </c>
      <c r="C7" s="628"/>
      <c r="D7" s="629"/>
      <c r="F7" s="263" t="s">
        <v>87</v>
      </c>
      <c r="G7" s="264">
        <f>AVERAGE(D69:D80)</f>
        <v>103.98333333333331</v>
      </c>
      <c r="H7" s="298">
        <f>AVERAGE(D57:D68)</f>
        <v>105.59916666666668</v>
      </c>
      <c r="I7" s="298">
        <f>AVERAGE(D45:D56)</f>
        <v>111.24333333333334</v>
      </c>
      <c r="J7" s="246">
        <f>AVERAGE(D33:D44)</f>
        <v>112.57825333333334</v>
      </c>
      <c r="K7" s="246">
        <f>AVERAGE(D21:D32)</f>
        <v>114.26692713333334</v>
      </c>
      <c r="L7" s="250">
        <f>AVERAGE(D9:D20)</f>
        <v>115.99235773304666</v>
      </c>
      <c r="M7" s="251"/>
    </row>
    <row r="8" spans="1:13" ht="27.75" thickBot="1" x14ac:dyDescent="0.3">
      <c r="A8" s="95"/>
      <c r="B8" s="265" t="s">
        <v>88</v>
      </c>
      <c r="C8" s="265" t="s">
        <v>89</v>
      </c>
      <c r="D8" s="101" t="s">
        <v>90</v>
      </c>
      <c r="F8" s="266" t="s">
        <v>91</v>
      </c>
      <c r="G8" s="398">
        <v>2.0719230336807559E-3</v>
      </c>
      <c r="H8" s="299">
        <f t="shared" ref="H8" si="0">ROUND(H7/G7-1,4)</f>
        <v>1.55E-2</v>
      </c>
      <c r="I8" s="299">
        <f>ROUND(I7/H7-1,4)</f>
        <v>5.3400000000000003E-2</v>
      </c>
      <c r="J8" s="247">
        <f t="shared" ref="J8:L8" si="1">ROUND(J7/I7-1,4)</f>
        <v>1.2E-2</v>
      </c>
      <c r="K8" s="247">
        <f t="shared" si="1"/>
        <v>1.4999999999999999E-2</v>
      </c>
      <c r="L8" s="249">
        <f t="shared" si="1"/>
        <v>1.5100000000000001E-2</v>
      </c>
    </row>
    <row r="9" spans="1:13" ht="15" customHeight="1" thickBot="1" x14ac:dyDescent="0.3">
      <c r="A9" s="95"/>
      <c r="B9" s="267">
        <v>2025</v>
      </c>
      <c r="C9" s="244">
        <v>12</v>
      </c>
      <c r="D9" s="295">
        <f>$K$7*(1+'Equilibre prévisionnel'!$I$7)</f>
        <v>115.99235773304666</v>
      </c>
      <c r="F9" s="97" t="s">
        <v>92</v>
      </c>
      <c r="G9" s="107">
        <f>G7/100</f>
        <v>1.0398333333333332</v>
      </c>
      <c r="H9" s="107">
        <f>G9*(1+H8)</f>
        <v>1.0559507499999998</v>
      </c>
      <c r="I9" s="107">
        <f t="shared" ref="I9:L9" si="2">H9*(1+I8)</f>
        <v>1.1123385200499998</v>
      </c>
      <c r="J9" s="107">
        <f t="shared" si="2"/>
        <v>1.1256865822905997</v>
      </c>
      <c r="K9" s="107">
        <f t="shared" si="2"/>
        <v>1.1425718810249585</v>
      </c>
      <c r="L9" s="107">
        <f t="shared" si="2"/>
        <v>1.1598247164284352</v>
      </c>
    </row>
    <row r="10" spans="1:13" ht="15" customHeight="1" thickBot="1" x14ac:dyDescent="0.3">
      <c r="A10" s="95"/>
      <c r="B10" s="268">
        <v>2025</v>
      </c>
      <c r="C10" s="269">
        <v>11</v>
      </c>
      <c r="D10" s="295">
        <f>$K$7*(1+'Equilibre prévisionnel'!$I$7)</f>
        <v>115.99235773304666</v>
      </c>
      <c r="F10" s="97" t="s">
        <v>341</v>
      </c>
      <c r="G10" s="107">
        <f>(1+G8)</f>
        <v>1.0020719230336808</v>
      </c>
      <c r="H10" s="107">
        <f>G10*(H8+1)</f>
        <v>1.017604037840703</v>
      </c>
      <c r="I10" s="107">
        <f t="shared" ref="I10:L10" si="3">H10*(I8+1)</f>
        <v>1.0719440934613964</v>
      </c>
      <c r="J10" s="107">
        <f t="shared" si="3"/>
        <v>1.0848074225829332</v>
      </c>
      <c r="K10" s="107">
        <f t="shared" si="3"/>
        <v>1.101079533921677</v>
      </c>
      <c r="L10" s="107">
        <f t="shared" si="3"/>
        <v>1.1177058348838942</v>
      </c>
    </row>
    <row r="11" spans="1:13" ht="15.75" thickBot="1" x14ac:dyDescent="0.3">
      <c r="A11" s="95"/>
      <c r="B11" s="268">
        <v>2025</v>
      </c>
      <c r="C11" s="269">
        <v>10</v>
      </c>
      <c r="D11" s="295">
        <f>$K$7*(1+'Equilibre prévisionnel'!$I$7)</f>
        <v>115.99235773304666</v>
      </c>
    </row>
    <row r="12" spans="1:13" ht="15.75" customHeight="1" thickBot="1" x14ac:dyDescent="0.3">
      <c r="A12" s="95"/>
      <c r="B12" s="268">
        <v>2025</v>
      </c>
      <c r="C12" s="269">
        <v>9</v>
      </c>
      <c r="D12" s="295">
        <f>$K$7*(1+'Equilibre prévisionnel'!$I$7)</f>
        <v>115.99235773304666</v>
      </c>
      <c r="F12" s="100" t="s">
        <v>348</v>
      </c>
      <c r="G12" s="100"/>
      <c r="H12" s="99">
        <v>2021</v>
      </c>
      <c r="I12" s="99">
        <v>2022</v>
      </c>
      <c r="J12" s="99">
        <v>2023</v>
      </c>
      <c r="K12" s="98">
        <v>2024</v>
      </c>
    </row>
    <row r="13" spans="1:13" ht="27.75" thickBot="1" x14ac:dyDescent="0.3">
      <c r="A13" s="95"/>
      <c r="B13" s="268">
        <v>2025</v>
      </c>
      <c r="C13" s="269">
        <v>8</v>
      </c>
      <c r="D13" s="295">
        <f>$K$7*(1+'Equilibre prévisionnel'!$I$7)</f>
        <v>115.99235773304666</v>
      </c>
      <c r="F13" s="367" t="s">
        <v>321</v>
      </c>
      <c r="G13" s="368"/>
      <c r="H13" s="368"/>
      <c r="I13" s="368"/>
      <c r="J13" s="368"/>
      <c r="K13" s="369"/>
    </row>
    <row r="14" spans="1:13" ht="27.75" thickBot="1" x14ac:dyDescent="0.3">
      <c r="A14" s="95"/>
      <c r="B14" s="268">
        <v>2025</v>
      </c>
      <c r="C14" s="269">
        <v>7</v>
      </c>
      <c r="D14" s="295">
        <f>$K$7*(1+'Equilibre prévisionnel'!$I$7)</f>
        <v>115.99235773304666</v>
      </c>
      <c r="F14" s="362" t="s">
        <v>331</v>
      </c>
      <c r="G14" s="363"/>
      <c r="H14" s="364">
        <v>1.4999999999999902E-2</v>
      </c>
      <c r="I14" s="365">
        <v>1.4999999999999999E-2</v>
      </c>
      <c r="J14" s="572">
        <v>4.2000000000000003E-2</v>
      </c>
      <c r="K14" s="366"/>
    </row>
    <row r="15" spans="1:13" x14ac:dyDescent="0.25">
      <c r="A15" s="95"/>
      <c r="B15" s="268">
        <v>2025</v>
      </c>
      <c r="C15" s="269">
        <v>6</v>
      </c>
      <c r="D15" s="295">
        <f>$K$7*(1+'Equilibre prévisionnel'!$I$7)</f>
        <v>115.99235773304666</v>
      </c>
    </row>
    <row r="16" spans="1:13" x14ac:dyDescent="0.25">
      <c r="A16" s="95"/>
      <c r="B16" s="268">
        <v>2025</v>
      </c>
      <c r="C16" s="269">
        <v>5</v>
      </c>
      <c r="D16" s="295">
        <f>$K$7*(1+'Equilibre prévisionnel'!$I$7)</f>
        <v>115.99235773304666</v>
      </c>
      <c r="F16" s="370" t="s">
        <v>322</v>
      </c>
    </row>
    <row r="17" spans="1:6" x14ac:dyDescent="0.25">
      <c r="A17" s="95"/>
      <c r="B17" s="268">
        <v>2025</v>
      </c>
      <c r="C17" s="269">
        <v>4</v>
      </c>
      <c r="D17" s="295">
        <f>$K$7*(1+'Equilibre prévisionnel'!$I$7)</f>
        <v>115.99235773304666</v>
      </c>
      <c r="F17" s="4" t="s">
        <v>82</v>
      </c>
    </row>
    <row r="18" spans="1:6" x14ac:dyDescent="0.25">
      <c r="A18" s="95"/>
      <c r="B18" s="268">
        <v>2025</v>
      </c>
      <c r="C18" s="269">
        <v>3</v>
      </c>
      <c r="D18" s="295">
        <f>$K$7*(1+'Equilibre prévisionnel'!$I$7)</f>
        <v>115.99235773304666</v>
      </c>
    </row>
    <row r="19" spans="1:6" x14ac:dyDescent="0.25">
      <c r="A19" s="95"/>
      <c r="B19" s="268">
        <v>2025</v>
      </c>
      <c r="C19" s="269">
        <v>2</v>
      </c>
      <c r="D19" s="295">
        <f>$K$7*(1+'Equilibre prévisionnel'!$I$7)</f>
        <v>115.99235773304666</v>
      </c>
    </row>
    <row r="20" spans="1:6" ht="15.75" thickBot="1" x14ac:dyDescent="0.3">
      <c r="A20" s="95"/>
      <c r="B20" s="270">
        <v>2025</v>
      </c>
      <c r="C20" s="271">
        <v>1</v>
      </c>
      <c r="D20" s="297">
        <f>$K$7*(1+'Equilibre prévisionnel'!$I$7)</f>
        <v>115.99235773304666</v>
      </c>
    </row>
    <row r="21" spans="1:6" x14ac:dyDescent="0.25">
      <c r="A21" s="95"/>
      <c r="B21" s="267">
        <v>2024</v>
      </c>
      <c r="C21" s="244">
        <v>12</v>
      </c>
      <c r="D21" s="296">
        <f>$J$7*(1+'Equilibre prévisionnel'!$H$7)</f>
        <v>114.26692713333333</v>
      </c>
    </row>
    <row r="22" spans="1:6" ht="15" customHeight="1" x14ac:dyDescent="0.25">
      <c r="A22" s="95"/>
      <c r="B22" s="268">
        <v>2024</v>
      </c>
      <c r="C22" s="269">
        <v>11</v>
      </c>
      <c r="D22" s="295">
        <f>$J$7*(1+'Equilibre prévisionnel'!$H$7)</f>
        <v>114.26692713333333</v>
      </c>
    </row>
    <row r="23" spans="1:6" x14ac:dyDescent="0.25">
      <c r="A23" s="95"/>
      <c r="B23" s="268">
        <v>2024</v>
      </c>
      <c r="C23" s="269">
        <v>10</v>
      </c>
      <c r="D23" s="295">
        <f>$J$7*(1+'Equilibre prévisionnel'!$H$7)</f>
        <v>114.26692713333333</v>
      </c>
    </row>
    <row r="24" spans="1:6" x14ac:dyDescent="0.25">
      <c r="A24" s="95"/>
      <c r="B24" s="268">
        <v>2024</v>
      </c>
      <c r="C24" s="269">
        <v>9</v>
      </c>
      <c r="D24" s="295">
        <f>$J$7*(1+'Equilibre prévisionnel'!$H$7)</f>
        <v>114.26692713333333</v>
      </c>
    </row>
    <row r="25" spans="1:6" x14ac:dyDescent="0.25">
      <c r="A25" s="95"/>
      <c r="B25" s="268">
        <v>2024</v>
      </c>
      <c r="C25" s="269">
        <v>8</v>
      </c>
      <c r="D25" s="295">
        <f>$J$7*(1+'Equilibre prévisionnel'!$H$7)</f>
        <v>114.26692713333333</v>
      </c>
    </row>
    <row r="26" spans="1:6" x14ac:dyDescent="0.25">
      <c r="A26" s="95"/>
      <c r="B26" s="268">
        <v>2024</v>
      </c>
      <c r="C26" s="269">
        <v>7</v>
      </c>
      <c r="D26" s="295">
        <f>$J$7*(1+'Equilibre prévisionnel'!$H$7)</f>
        <v>114.26692713333333</v>
      </c>
    </row>
    <row r="27" spans="1:6" x14ac:dyDescent="0.25">
      <c r="A27" s="95"/>
      <c r="B27" s="268">
        <v>2024</v>
      </c>
      <c r="C27" s="269">
        <v>6</v>
      </c>
      <c r="D27" s="295">
        <f>$J$7*(1+'Equilibre prévisionnel'!$H$7)</f>
        <v>114.26692713333333</v>
      </c>
    </row>
    <row r="28" spans="1:6" x14ac:dyDescent="0.25">
      <c r="A28" s="95"/>
      <c r="B28" s="268">
        <v>2024</v>
      </c>
      <c r="C28" s="269">
        <v>5</v>
      </c>
      <c r="D28" s="295">
        <f>$J$7*(1+'Equilibre prévisionnel'!$H$7)</f>
        <v>114.26692713333333</v>
      </c>
    </row>
    <row r="29" spans="1:6" x14ac:dyDescent="0.25">
      <c r="A29" s="95"/>
      <c r="B29" s="268">
        <v>2024</v>
      </c>
      <c r="C29" s="269">
        <v>4</v>
      </c>
      <c r="D29" s="295">
        <f>$J$7*(1+'Equilibre prévisionnel'!$H$7)</f>
        <v>114.26692713333333</v>
      </c>
    </row>
    <row r="30" spans="1:6" x14ac:dyDescent="0.25">
      <c r="A30" s="95"/>
      <c r="B30" s="268">
        <v>2024</v>
      </c>
      <c r="C30" s="269">
        <v>3</v>
      </c>
      <c r="D30" s="295">
        <f>$J$7*(1+'Equilibre prévisionnel'!$H$7)</f>
        <v>114.26692713333333</v>
      </c>
    </row>
    <row r="31" spans="1:6" x14ac:dyDescent="0.25">
      <c r="A31" s="95"/>
      <c r="B31" s="268">
        <v>2024</v>
      </c>
      <c r="C31" s="269">
        <v>2</v>
      </c>
      <c r="D31" s="295">
        <f>$J$7*(1+'Equilibre prévisionnel'!$H$7)</f>
        <v>114.26692713333333</v>
      </c>
    </row>
    <row r="32" spans="1:6" ht="15.75" thickBot="1" x14ac:dyDescent="0.3">
      <c r="A32" s="95"/>
      <c r="B32" s="270">
        <v>2024</v>
      </c>
      <c r="C32" s="271">
        <v>1</v>
      </c>
      <c r="D32" s="297">
        <f>$J$7*(1+'Equilibre prévisionnel'!$H$7)</f>
        <v>114.26692713333333</v>
      </c>
    </row>
    <row r="33" spans="1:4" x14ac:dyDescent="0.25">
      <c r="A33" s="95"/>
      <c r="B33" s="267">
        <v>2023</v>
      </c>
      <c r="C33" s="244">
        <v>12</v>
      </c>
      <c r="D33" s="301">
        <f>$I$7*(1+'Equilibre prévisionnel'!$G$7)</f>
        <v>112.57825333333334</v>
      </c>
    </row>
    <row r="34" spans="1:4" x14ac:dyDescent="0.25">
      <c r="A34" s="95"/>
      <c r="B34" s="268">
        <v>2023</v>
      </c>
      <c r="C34" s="269">
        <v>11</v>
      </c>
      <c r="D34" s="300">
        <f>$I$7*(1+'Equilibre prévisionnel'!$G$7)</f>
        <v>112.57825333333334</v>
      </c>
    </row>
    <row r="35" spans="1:4" x14ac:dyDescent="0.25">
      <c r="A35" s="95"/>
      <c r="B35" s="268">
        <v>2023</v>
      </c>
      <c r="C35" s="269">
        <v>10</v>
      </c>
      <c r="D35" s="300">
        <f>$I$7*(1+'Equilibre prévisionnel'!$G$7)</f>
        <v>112.57825333333334</v>
      </c>
    </row>
    <row r="36" spans="1:4" x14ac:dyDescent="0.25">
      <c r="A36" s="95"/>
      <c r="B36" s="268">
        <v>2023</v>
      </c>
      <c r="C36" s="269">
        <v>9</v>
      </c>
      <c r="D36" s="300">
        <f>$I$7*(1+'Equilibre prévisionnel'!$G$7)</f>
        <v>112.57825333333334</v>
      </c>
    </row>
    <row r="37" spans="1:4" x14ac:dyDescent="0.25">
      <c r="A37" s="95"/>
      <c r="B37" s="268">
        <v>2023</v>
      </c>
      <c r="C37" s="269">
        <v>8</v>
      </c>
      <c r="D37" s="300">
        <f>$I$7*(1+'Equilibre prévisionnel'!$G$7)</f>
        <v>112.57825333333334</v>
      </c>
    </row>
    <row r="38" spans="1:4" x14ac:dyDescent="0.25">
      <c r="A38" s="95"/>
      <c r="B38" s="268">
        <v>2023</v>
      </c>
      <c r="C38" s="269">
        <v>7</v>
      </c>
      <c r="D38" s="300">
        <f>$I$7*(1+'Equilibre prévisionnel'!$G$7)</f>
        <v>112.57825333333334</v>
      </c>
    </row>
    <row r="39" spans="1:4" x14ac:dyDescent="0.25">
      <c r="A39" s="95"/>
      <c r="B39" s="268">
        <v>2023</v>
      </c>
      <c r="C39" s="269">
        <v>6</v>
      </c>
      <c r="D39" s="300">
        <f>$I$7*(1+'Equilibre prévisionnel'!$G$7)</f>
        <v>112.57825333333334</v>
      </c>
    </row>
    <row r="40" spans="1:4" x14ac:dyDescent="0.25">
      <c r="A40" s="95"/>
      <c r="B40" s="268">
        <v>2023</v>
      </c>
      <c r="C40" s="269">
        <v>5</v>
      </c>
      <c r="D40" s="300">
        <f>$I$7*(1+'Equilibre prévisionnel'!$G$7)</f>
        <v>112.57825333333334</v>
      </c>
    </row>
    <row r="41" spans="1:4" x14ac:dyDescent="0.25">
      <c r="A41" s="95"/>
      <c r="B41" s="268">
        <v>2023</v>
      </c>
      <c r="C41" s="269">
        <v>4</v>
      </c>
      <c r="D41" s="300">
        <f>$I$7*(1+'Equilibre prévisionnel'!$G$7)</f>
        <v>112.57825333333334</v>
      </c>
    </row>
    <row r="42" spans="1:4" x14ac:dyDescent="0.25">
      <c r="A42" s="95"/>
      <c r="B42" s="268">
        <v>2023</v>
      </c>
      <c r="C42" s="269">
        <v>3</v>
      </c>
      <c r="D42" s="300">
        <f>$I$7*(1+'Equilibre prévisionnel'!$G$7)</f>
        <v>112.57825333333334</v>
      </c>
    </row>
    <row r="43" spans="1:4" x14ac:dyDescent="0.25">
      <c r="A43" s="95"/>
      <c r="B43" s="268">
        <v>2023</v>
      </c>
      <c r="C43" s="269">
        <v>2</v>
      </c>
      <c r="D43" s="300">
        <f>$I$7*(1+'Equilibre prévisionnel'!$G$7)</f>
        <v>112.57825333333334</v>
      </c>
    </row>
    <row r="44" spans="1:4" ht="15.75" thickBot="1" x14ac:dyDescent="0.3">
      <c r="A44" s="95"/>
      <c r="B44" s="270">
        <v>2023</v>
      </c>
      <c r="C44" s="271">
        <v>1</v>
      </c>
      <c r="D44" s="300">
        <f>$I$7*(1+'Equilibre prévisionnel'!$G$7)</f>
        <v>112.57825333333334</v>
      </c>
    </row>
    <row r="45" spans="1:4" x14ac:dyDescent="0.25">
      <c r="A45" s="95"/>
      <c r="B45" s="267">
        <v>2022</v>
      </c>
      <c r="C45" s="244">
        <v>12</v>
      </c>
      <c r="D45" s="569">
        <v>113.53</v>
      </c>
    </row>
    <row r="46" spans="1:4" x14ac:dyDescent="0.25">
      <c r="A46" s="95"/>
      <c r="B46" s="268">
        <v>2022</v>
      </c>
      <c r="C46" s="269">
        <v>11</v>
      </c>
      <c r="D46" s="570">
        <v>113.42</v>
      </c>
    </row>
    <row r="47" spans="1:4" x14ac:dyDescent="0.25">
      <c r="A47" s="95"/>
      <c r="B47" s="268">
        <v>2022</v>
      </c>
      <c r="C47" s="269">
        <v>10</v>
      </c>
      <c r="D47" s="245">
        <v>113.16</v>
      </c>
    </row>
    <row r="48" spans="1:4" x14ac:dyDescent="0.25">
      <c r="A48" s="95"/>
      <c r="B48" s="268">
        <v>2022</v>
      </c>
      <c r="C48" s="269">
        <v>9</v>
      </c>
      <c r="D48" s="245">
        <v>111.99</v>
      </c>
    </row>
    <row r="49" spans="1:4" x14ac:dyDescent="0.25">
      <c r="A49" s="95"/>
      <c r="B49" s="268">
        <v>2022</v>
      </c>
      <c r="C49" s="269">
        <v>8</v>
      </c>
      <c r="D49" s="245">
        <v>112.63</v>
      </c>
    </row>
    <row r="50" spans="1:4" x14ac:dyDescent="0.25">
      <c r="A50" s="95"/>
      <c r="B50" s="268">
        <v>2022</v>
      </c>
      <c r="C50" s="269">
        <v>7</v>
      </c>
      <c r="D50" s="245">
        <v>112.11</v>
      </c>
    </row>
    <row r="51" spans="1:4" x14ac:dyDescent="0.25">
      <c r="A51" s="95"/>
      <c r="B51" s="268">
        <v>2022</v>
      </c>
      <c r="C51" s="269">
        <v>6</v>
      </c>
      <c r="D51" s="245">
        <v>111.8</v>
      </c>
    </row>
    <row r="52" spans="1:4" x14ac:dyDescent="0.25">
      <c r="A52" s="95"/>
      <c r="B52" s="268">
        <v>2022</v>
      </c>
      <c r="C52" s="269">
        <v>5</v>
      </c>
      <c r="D52" s="245">
        <v>110.95</v>
      </c>
    </row>
    <row r="53" spans="1:4" x14ac:dyDescent="0.25">
      <c r="A53" s="95"/>
      <c r="B53" s="268">
        <v>2022</v>
      </c>
      <c r="C53" s="269">
        <v>4</v>
      </c>
      <c r="D53" s="245">
        <v>110.19</v>
      </c>
    </row>
    <row r="54" spans="1:4" x14ac:dyDescent="0.25">
      <c r="A54" s="95"/>
      <c r="B54" s="268">
        <v>2022</v>
      </c>
      <c r="C54" s="269">
        <v>3</v>
      </c>
      <c r="D54" s="245">
        <v>109.7</v>
      </c>
    </row>
    <row r="55" spans="1:4" x14ac:dyDescent="0.25">
      <c r="A55" s="95"/>
      <c r="B55" s="268">
        <v>2022</v>
      </c>
      <c r="C55" s="269">
        <v>2</v>
      </c>
      <c r="D55" s="245">
        <v>108.14</v>
      </c>
    </row>
    <row r="56" spans="1:4" ht="15.75" thickBot="1" x14ac:dyDescent="0.3">
      <c r="A56" s="95"/>
      <c r="B56" s="270">
        <v>2022</v>
      </c>
      <c r="C56" s="271">
        <v>1</v>
      </c>
      <c r="D56" s="245">
        <v>107.3</v>
      </c>
    </row>
    <row r="57" spans="1:4" x14ac:dyDescent="0.25">
      <c r="A57" s="95"/>
      <c r="B57" s="267">
        <v>2021</v>
      </c>
      <c r="C57" s="244">
        <v>12</v>
      </c>
      <c r="D57" s="244">
        <v>107.03</v>
      </c>
    </row>
    <row r="58" spans="1:4" x14ac:dyDescent="0.25">
      <c r="A58" s="95"/>
      <c r="B58" s="268">
        <v>2021</v>
      </c>
      <c r="C58" s="269">
        <v>11</v>
      </c>
      <c r="D58" s="245">
        <v>106.82</v>
      </c>
    </row>
    <row r="59" spans="1:4" x14ac:dyDescent="0.25">
      <c r="A59" s="95"/>
      <c r="B59" s="268">
        <v>2021</v>
      </c>
      <c r="C59" s="269">
        <v>10</v>
      </c>
      <c r="D59" s="245">
        <v>106.42</v>
      </c>
    </row>
    <row r="60" spans="1:4" x14ac:dyDescent="0.25">
      <c r="A60" s="95"/>
      <c r="B60" s="268">
        <v>2021</v>
      </c>
      <c r="C60" s="269">
        <v>9</v>
      </c>
      <c r="D60" s="245">
        <v>105.97</v>
      </c>
    </row>
    <row r="61" spans="1:4" x14ac:dyDescent="0.25">
      <c r="A61" s="95"/>
      <c r="B61" s="268">
        <v>2021</v>
      </c>
      <c r="C61" s="269">
        <v>8</v>
      </c>
      <c r="D61" s="245">
        <v>106.21</v>
      </c>
    </row>
    <row r="62" spans="1:4" x14ac:dyDescent="0.25">
      <c r="A62" s="95"/>
      <c r="B62" s="268">
        <v>2021</v>
      </c>
      <c r="C62" s="269">
        <v>7</v>
      </c>
      <c r="D62" s="245">
        <v>105.55</v>
      </c>
    </row>
    <row r="63" spans="1:4" x14ac:dyDescent="0.25">
      <c r="A63" s="95"/>
      <c r="B63" s="268">
        <v>2021</v>
      </c>
      <c r="C63" s="269">
        <v>6</v>
      </c>
      <c r="D63" s="245">
        <v>105.48</v>
      </c>
    </row>
    <row r="64" spans="1:4" x14ac:dyDescent="0.25">
      <c r="A64" s="95"/>
      <c r="B64" s="268">
        <v>2021</v>
      </c>
      <c r="C64" s="269">
        <v>5</v>
      </c>
      <c r="D64" s="245">
        <v>105.34</v>
      </c>
    </row>
    <row r="65" spans="1:4" x14ac:dyDescent="0.25">
      <c r="A65" s="95"/>
      <c r="B65" s="268">
        <v>2021</v>
      </c>
      <c r="C65" s="269">
        <v>4</v>
      </c>
      <c r="D65" s="245">
        <v>105</v>
      </c>
    </row>
    <row r="66" spans="1:4" x14ac:dyDescent="0.25">
      <c r="A66" s="95"/>
      <c r="B66" s="268">
        <v>2021</v>
      </c>
      <c r="C66" s="269">
        <v>3</v>
      </c>
      <c r="D66" s="245">
        <v>104.89</v>
      </c>
    </row>
    <row r="67" spans="1:4" x14ac:dyDescent="0.25">
      <c r="A67" s="95"/>
      <c r="B67" s="268">
        <v>2021</v>
      </c>
      <c r="C67" s="269">
        <v>2</v>
      </c>
      <c r="D67" s="245">
        <v>104.24</v>
      </c>
    </row>
    <row r="68" spans="1:4" ht="15.75" thickBot="1" x14ac:dyDescent="0.3">
      <c r="A68" s="95"/>
      <c r="B68" s="270">
        <v>2021</v>
      </c>
      <c r="C68" s="271">
        <v>1</v>
      </c>
      <c r="D68" s="245">
        <v>104.24</v>
      </c>
    </row>
    <row r="69" spans="1:4" x14ac:dyDescent="0.25">
      <c r="A69" s="95"/>
      <c r="B69" s="267">
        <v>2020</v>
      </c>
      <c r="C69" s="244">
        <v>12</v>
      </c>
      <c r="D69" s="244">
        <v>103.94</v>
      </c>
    </row>
    <row r="70" spans="1:4" x14ac:dyDescent="0.25">
      <c r="A70" s="95"/>
      <c r="B70" s="268">
        <v>2020</v>
      </c>
      <c r="C70" s="269">
        <v>11</v>
      </c>
      <c r="D70" s="245">
        <v>103.93</v>
      </c>
    </row>
    <row r="71" spans="1:4" x14ac:dyDescent="0.25">
      <c r="A71" s="95"/>
      <c r="B71" s="268">
        <v>2020</v>
      </c>
      <c r="C71" s="269">
        <v>10</v>
      </c>
      <c r="D71" s="245">
        <v>103.85</v>
      </c>
    </row>
    <row r="72" spans="1:4" x14ac:dyDescent="0.25">
      <c r="A72" s="95"/>
      <c r="B72" s="268">
        <v>2020</v>
      </c>
      <c r="C72" s="269">
        <v>9</v>
      </c>
      <c r="D72" s="245">
        <v>103.81</v>
      </c>
    </row>
    <row r="73" spans="1:4" x14ac:dyDescent="0.25">
      <c r="A73" s="95"/>
      <c r="B73" s="268">
        <v>2020</v>
      </c>
      <c r="C73" s="269">
        <v>8</v>
      </c>
      <c r="D73" s="245">
        <v>103.95</v>
      </c>
    </row>
    <row r="74" spans="1:4" x14ac:dyDescent="0.25">
      <c r="A74" s="95"/>
      <c r="B74" s="268">
        <v>2020</v>
      </c>
      <c r="C74" s="269">
        <v>7</v>
      </c>
      <c r="D74" s="245">
        <v>104.04</v>
      </c>
    </row>
    <row r="75" spans="1:4" x14ac:dyDescent="0.25">
      <c r="A75" s="95"/>
      <c r="B75" s="268">
        <v>2020</v>
      </c>
      <c r="C75" s="269">
        <v>6</v>
      </c>
      <c r="D75" s="245">
        <v>104.44</v>
      </c>
    </row>
    <row r="76" spans="1:4" x14ac:dyDescent="0.25">
      <c r="A76" s="95"/>
      <c r="B76" s="268">
        <v>2020</v>
      </c>
      <c r="C76" s="269">
        <v>5</v>
      </c>
      <c r="D76" s="245">
        <v>104.34</v>
      </c>
    </row>
    <row r="77" spans="1:4" x14ac:dyDescent="0.25">
      <c r="A77" s="95"/>
      <c r="B77" s="268">
        <v>2020</v>
      </c>
      <c r="C77" s="269">
        <v>4</v>
      </c>
      <c r="D77" s="245">
        <v>103.8</v>
      </c>
    </row>
    <row r="78" spans="1:4" x14ac:dyDescent="0.25">
      <c r="A78" s="95"/>
      <c r="B78" s="268">
        <v>2020</v>
      </c>
      <c r="C78" s="269">
        <v>3</v>
      </c>
      <c r="D78" s="245">
        <v>103.75</v>
      </c>
    </row>
    <row r="79" spans="1:4" x14ac:dyDescent="0.25">
      <c r="A79" s="95"/>
      <c r="B79" s="268">
        <v>2020</v>
      </c>
      <c r="C79" s="269">
        <v>2</v>
      </c>
      <c r="D79" s="245">
        <v>103.86</v>
      </c>
    </row>
    <row r="80" spans="1:4" ht="15.75" thickBot="1" x14ac:dyDescent="0.3">
      <c r="A80" s="95"/>
      <c r="B80" s="270">
        <v>2020</v>
      </c>
      <c r="C80" s="271">
        <v>1</v>
      </c>
      <c r="D80" s="245">
        <v>104.09</v>
      </c>
    </row>
    <row r="81" spans="1:4" x14ac:dyDescent="0.25">
      <c r="A81" s="95"/>
      <c r="B81" s="267">
        <v>2019</v>
      </c>
      <c r="C81" s="244">
        <v>12</v>
      </c>
      <c r="D81" s="244">
        <v>104.39</v>
      </c>
    </row>
    <row r="82" spans="1:4" x14ac:dyDescent="0.25">
      <c r="A82" s="95"/>
      <c r="B82" s="268">
        <v>2019</v>
      </c>
      <c r="C82" s="269">
        <v>11</v>
      </c>
      <c r="D82" s="245">
        <v>103.92</v>
      </c>
    </row>
    <row r="83" spans="1:4" x14ac:dyDescent="0.25">
      <c r="A83" s="95"/>
      <c r="B83" s="268">
        <v>2019</v>
      </c>
      <c r="C83" s="269">
        <v>10</v>
      </c>
      <c r="D83" s="245">
        <v>103.99</v>
      </c>
    </row>
    <row r="84" spans="1:4" x14ac:dyDescent="0.25">
      <c r="A84" s="95"/>
      <c r="B84" s="268">
        <v>2019</v>
      </c>
      <c r="C84" s="269">
        <v>9</v>
      </c>
      <c r="D84" s="245">
        <v>104.04</v>
      </c>
    </row>
    <row r="85" spans="1:4" x14ac:dyDescent="0.25">
      <c r="A85" s="95"/>
      <c r="B85" s="268">
        <v>2019</v>
      </c>
      <c r="C85" s="269">
        <v>8</v>
      </c>
      <c r="D85" s="245">
        <v>104.4</v>
      </c>
    </row>
    <row r="86" spans="1:4" x14ac:dyDescent="0.25">
      <c r="A86" s="95"/>
      <c r="B86" s="268">
        <v>2019</v>
      </c>
      <c r="C86" s="269">
        <v>7</v>
      </c>
      <c r="D86" s="245">
        <v>103.91</v>
      </c>
    </row>
    <row r="87" spans="1:4" x14ac:dyDescent="0.25">
      <c r="A87" s="95"/>
      <c r="B87" s="268">
        <v>2019</v>
      </c>
      <c r="C87" s="269">
        <v>6</v>
      </c>
      <c r="D87" s="245">
        <v>104.12</v>
      </c>
    </row>
    <row r="88" spans="1:4" x14ac:dyDescent="0.25">
      <c r="A88" s="95"/>
      <c r="B88" s="268">
        <v>2019</v>
      </c>
      <c r="C88" s="269">
        <v>5</v>
      </c>
      <c r="D88" s="245">
        <v>103.86</v>
      </c>
    </row>
    <row r="89" spans="1:4" x14ac:dyDescent="0.25">
      <c r="A89" s="95"/>
      <c r="B89" s="268">
        <v>2019</v>
      </c>
      <c r="C89" s="269">
        <v>4</v>
      </c>
      <c r="D89" s="245">
        <v>103.76</v>
      </c>
    </row>
    <row r="90" spans="1:4" x14ac:dyDescent="0.25">
      <c r="A90" s="95"/>
      <c r="B90" s="268">
        <v>2019</v>
      </c>
      <c r="C90" s="269">
        <v>3</v>
      </c>
      <c r="D90" s="245">
        <v>103.43</v>
      </c>
    </row>
    <row r="91" spans="1:4" x14ac:dyDescent="0.25">
      <c r="A91" s="95"/>
      <c r="B91" s="268">
        <v>2019</v>
      </c>
      <c r="C91" s="269">
        <v>2</v>
      </c>
      <c r="D91" s="245">
        <v>102.73</v>
      </c>
    </row>
    <row r="92" spans="1:4" ht="15.75" thickBot="1" x14ac:dyDescent="0.3">
      <c r="A92" s="95"/>
      <c r="B92" s="270">
        <v>2019</v>
      </c>
      <c r="C92" s="271">
        <v>1</v>
      </c>
      <c r="D92" s="245">
        <v>102.67</v>
      </c>
    </row>
    <row r="93" spans="1:4" x14ac:dyDescent="0.25">
      <c r="A93" s="95"/>
      <c r="B93" s="267">
        <v>2018</v>
      </c>
      <c r="C93" s="244">
        <v>12</v>
      </c>
      <c r="D93" s="244">
        <v>103.16</v>
      </c>
    </row>
    <row r="94" spans="1:4" x14ac:dyDescent="0.25">
      <c r="A94" s="95"/>
      <c r="B94" s="268">
        <v>2018</v>
      </c>
      <c r="C94" s="269">
        <v>11</v>
      </c>
      <c r="D94" s="245">
        <v>103.14</v>
      </c>
    </row>
    <row r="95" spans="1:4" x14ac:dyDescent="0.25">
      <c r="A95" s="95"/>
      <c r="B95" s="268">
        <v>2018</v>
      </c>
      <c r="C95" s="269">
        <v>10</v>
      </c>
      <c r="D95" s="245">
        <v>103.37</v>
      </c>
    </row>
    <row r="96" spans="1:4" x14ac:dyDescent="0.25">
      <c r="A96" s="95"/>
      <c r="B96" s="268">
        <v>2018</v>
      </c>
      <c r="C96" s="269">
        <v>9</v>
      </c>
      <c r="D96" s="245">
        <v>103.25</v>
      </c>
    </row>
    <row r="97" spans="1:4" x14ac:dyDescent="0.25">
      <c r="A97" s="95"/>
      <c r="B97" s="268">
        <v>2018</v>
      </c>
      <c r="C97" s="269">
        <v>8</v>
      </c>
      <c r="D97" s="245">
        <v>103.48</v>
      </c>
    </row>
    <row r="98" spans="1:4" x14ac:dyDescent="0.25">
      <c r="A98" s="95"/>
      <c r="B98" s="268">
        <v>2018</v>
      </c>
      <c r="C98" s="269">
        <v>7</v>
      </c>
      <c r="D98" s="245">
        <v>102.96</v>
      </c>
    </row>
    <row r="99" spans="1:4" x14ac:dyDescent="0.25">
      <c r="A99" s="95"/>
      <c r="B99" s="268">
        <v>2018</v>
      </c>
      <c r="C99" s="269">
        <v>6</v>
      </c>
      <c r="D99" s="245">
        <v>103.07</v>
      </c>
    </row>
    <row r="100" spans="1:4" x14ac:dyDescent="0.25">
      <c r="A100" s="95"/>
      <c r="B100" s="268">
        <v>2018</v>
      </c>
      <c r="C100" s="269">
        <v>5</v>
      </c>
      <c r="D100" s="245">
        <v>103.06</v>
      </c>
    </row>
    <row r="101" spans="1:4" x14ac:dyDescent="0.25">
      <c r="A101" s="95"/>
      <c r="B101" s="268">
        <v>2018</v>
      </c>
      <c r="C101" s="269">
        <v>4</v>
      </c>
      <c r="D101" s="245">
        <v>102.59</v>
      </c>
    </row>
    <row r="102" spans="1:4" x14ac:dyDescent="0.25">
      <c r="A102" s="95"/>
      <c r="B102" s="268">
        <v>2018</v>
      </c>
      <c r="C102" s="269">
        <v>3</v>
      </c>
      <c r="D102" s="245">
        <v>102.42</v>
      </c>
    </row>
    <row r="103" spans="1:4" x14ac:dyDescent="0.25">
      <c r="A103" s="95"/>
      <c r="B103" s="268">
        <v>2018</v>
      </c>
      <c r="C103" s="269">
        <v>2</v>
      </c>
      <c r="D103" s="245">
        <v>101.64</v>
      </c>
    </row>
    <row r="104" spans="1:4" ht="15.75" thickBot="1" x14ac:dyDescent="0.3">
      <c r="A104" s="95"/>
      <c r="B104" s="270">
        <v>2018</v>
      </c>
      <c r="C104" s="271">
        <v>1</v>
      </c>
      <c r="D104" s="245">
        <v>101.67</v>
      </c>
    </row>
    <row r="105" spans="1:4" x14ac:dyDescent="0.25">
      <c r="A105" s="95"/>
      <c r="B105" s="267">
        <v>2017</v>
      </c>
      <c r="C105" s="244">
        <v>12</v>
      </c>
      <c r="D105" s="244">
        <v>101.76</v>
      </c>
    </row>
    <row r="106" spans="1:4" x14ac:dyDescent="0.25">
      <c r="A106" s="95"/>
      <c r="B106" s="268">
        <v>2017</v>
      </c>
      <c r="C106" s="269">
        <v>11</v>
      </c>
      <c r="D106" s="245">
        <v>101.47</v>
      </c>
    </row>
    <row r="107" spans="1:4" x14ac:dyDescent="0.25">
      <c r="A107" s="95"/>
      <c r="B107" s="268">
        <v>2017</v>
      </c>
      <c r="C107" s="269">
        <v>10</v>
      </c>
      <c r="D107" s="245">
        <v>101.4</v>
      </c>
    </row>
    <row r="108" spans="1:4" x14ac:dyDescent="0.25">
      <c r="A108" s="95"/>
      <c r="B108" s="268">
        <v>2017</v>
      </c>
      <c r="C108" s="269">
        <v>9</v>
      </c>
      <c r="D108" s="245">
        <v>101.3</v>
      </c>
    </row>
    <row r="109" spans="1:4" x14ac:dyDescent="0.25">
      <c r="A109" s="95"/>
      <c r="B109" s="268">
        <v>2017</v>
      </c>
      <c r="C109" s="269">
        <v>8</v>
      </c>
      <c r="D109" s="245">
        <v>101.47</v>
      </c>
    </row>
    <row r="110" spans="1:4" x14ac:dyDescent="0.25">
      <c r="A110" s="95"/>
      <c r="B110" s="268">
        <v>2017</v>
      </c>
      <c r="C110" s="269">
        <v>7</v>
      </c>
      <c r="D110" s="245">
        <v>100.94</v>
      </c>
    </row>
    <row r="111" spans="1:4" x14ac:dyDescent="0.25">
      <c r="A111" s="95"/>
      <c r="B111" s="268">
        <v>2017</v>
      </c>
      <c r="C111" s="269">
        <v>6</v>
      </c>
      <c r="D111" s="245">
        <v>101.3</v>
      </c>
    </row>
    <row r="112" spans="1:4" x14ac:dyDescent="0.25">
      <c r="A112" s="95"/>
      <c r="B112" s="268">
        <v>2017</v>
      </c>
      <c r="C112" s="269">
        <v>5</v>
      </c>
      <c r="D112" s="245">
        <v>101.28</v>
      </c>
    </row>
    <row r="113" spans="1:6" x14ac:dyDescent="0.25">
      <c r="A113" s="95"/>
      <c r="B113" s="268">
        <v>2017</v>
      </c>
      <c r="C113" s="269">
        <v>4</v>
      </c>
      <c r="D113" s="245">
        <v>101.23</v>
      </c>
    </row>
    <row r="114" spans="1:6" x14ac:dyDescent="0.25">
      <c r="A114" s="95"/>
      <c r="B114" s="268">
        <v>2017</v>
      </c>
      <c r="C114" s="269">
        <v>3</v>
      </c>
      <c r="D114" s="245">
        <v>101.14</v>
      </c>
    </row>
    <row r="115" spans="1:6" x14ac:dyDescent="0.25">
      <c r="A115" s="95"/>
      <c r="B115" s="268">
        <v>2017</v>
      </c>
      <c r="C115" s="269">
        <v>2</v>
      </c>
      <c r="D115" s="245">
        <v>100.52</v>
      </c>
    </row>
    <row r="116" spans="1:6" ht="15.75" thickBot="1" x14ac:dyDescent="0.3">
      <c r="A116" s="95"/>
      <c r="B116" s="270">
        <v>2017</v>
      </c>
      <c r="C116" s="271">
        <v>1</v>
      </c>
      <c r="D116" s="245">
        <v>100.41</v>
      </c>
    </row>
    <row r="117" spans="1:6" x14ac:dyDescent="0.25">
      <c r="A117" s="95"/>
      <c r="B117" s="267">
        <v>2016</v>
      </c>
      <c r="C117" s="244">
        <v>12</v>
      </c>
      <c r="D117" s="244">
        <v>100.66</v>
      </c>
    </row>
    <row r="118" spans="1:6" x14ac:dyDescent="0.25">
      <c r="A118" s="95"/>
      <c r="B118" s="268">
        <v>2016</v>
      </c>
      <c r="C118" s="269">
        <v>11</v>
      </c>
      <c r="D118" s="269">
        <v>100.36</v>
      </c>
    </row>
    <row r="119" spans="1:6" x14ac:dyDescent="0.25">
      <c r="A119" s="95"/>
      <c r="B119" s="268">
        <v>2016</v>
      </c>
      <c r="C119" s="269">
        <v>10</v>
      </c>
      <c r="D119" s="269">
        <v>100.37</v>
      </c>
    </row>
    <row r="120" spans="1:6" x14ac:dyDescent="0.25">
      <c r="A120" s="95"/>
      <c r="B120" s="268">
        <v>2016</v>
      </c>
      <c r="C120" s="269">
        <v>9</v>
      </c>
      <c r="D120" s="269">
        <v>100.35</v>
      </c>
    </row>
    <row r="121" spans="1:6" x14ac:dyDescent="0.25">
      <c r="A121" s="95"/>
      <c r="B121" s="268">
        <v>2016</v>
      </c>
      <c r="C121" s="269">
        <v>8</v>
      </c>
      <c r="D121" s="269">
        <v>100.59</v>
      </c>
    </row>
    <row r="122" spans="1:6" x14ac:dyDescent="0.25">
      <c r="A122" s="95"/>
      <c r="B122" s="268">
        <v>2016</v>
      </c>
      <c r="C122" s="269">
        <v>7</v>
      </c>
      <c r="D122" s="269">
        <v>100.26</v>
      </c>
    </row>
    <row r="123" spans="1:6" x14ac:dyDescent="0.25">
      <c r="A123" s="95"/>
      <c r="B123" s="268">
        <v>2016</v>
      </c>
      <c r="C123" s="269">
        <v>6</v>
      </c>
      <c r="D123" s="269">
        <v>100.64</v>
      </c>
    </row>
    <row r="124" spans="1:6" x14ac:dyDescent="0.25">
      <c r="A124" s="95"/>
      <c r="B124" s="268">
        <v>2016</v>
      </c>
      <c r="C124" s="269">
        <v>5</v>
      </c>
      <c r="D124" s="269">
        <v>100.51</v>
      </c>
    </row>
    <row r="125" spans="1:6" x14ac:dyDescent="0.25">
      <c r="A125" s="95"/>
      <c r="B125" s="268">
        <v>2016</v>
      </c>
      <c r="C125" s="269">
        <v>4</v>
      </c>
      <c r="D125" s="269">
        <v>100.09</v>
      </c>
    </row>
    <row r="126" spans="1:6" x14ac:dyDescent="0.25">
      <c r="A126" s="95"/>
      <c r="B126" s="268">
        <v>2016</v>
      </c>
      <c r="C126" s="269">
        <v>3</v>
      </c>
      <c r="D126" s="269">
        <v>100.02</v>
      </c>
      <c r="E126" s="2"/>
      <c r="F126" s="95"/>
    </row>
    <row r="127" spans="1:6" x14ac:dyDescent="0.25">
      <c r="A127" s="95"/>
      <c r="B127" s="268">
        <v>2016</v>
      </c>
      <c r="C127" s="269">
        <v>2</v>
      </c>
      <c r="D127" s="269">
        <v>99.32</v>
      </c>
    </row>
    <row r="128" spans="1:6" ht="15.75" thickBot="1" x14ac:dyDescent="0.3">
      <c r="A128" s="95"/>
      <c r="B128" s="270">
        <v>2016</v>
      </c>
      <c r="C128" s="271">
        <v>1</v>
      </c>
      <c r="D128" s="271">
        <v>99.07</v>
      </c>
    </row>
    <row r="129" spans="2:4" x14ac:dyDescent="0.25">
      <c r="B129" s="267">
        <v>2015</v>
      </c>
      <c r="C129" s="244">
        <v>12</v>
      </c>
      <c r="D129" s="272">
        <v>100.04</v>
      </c>
    </row>
    <row r="130" spans="2:4" x14ac:dyDescent="0.25">
      <c r="B130" s="268">
        <v>2015</v>
      </c>
      <c r="C130" s="269">
        <v>11</v>
      </c>
      <c r="D130" s="245">
        <v>99.81</v>
      </c>
    </row>
    <row r="131" spans="2:4" x14ac:dyDescent="0.25">
      <c r="B131" s="268">
        <v>2015</v>
      </c>
      <c r="C131" s="269">
        <v>10</v>
      </c>
      <c r="D131" s="245">
        <v>100.01</v>
      </c>
    </row>
    <row r="132" spans="2:4" x14ac:dyDescent="0.25">
      <c r="B132" s="268">
        <v>2015</v>
      </c>
      <c r="C132" s="269">
        <v>9</v>
      </c>
      <c r="D132" s="245">
        <v>99.95</v>
      </c>
    </row>
    <row r="133" spans="2:4" x14ac:dyDescent="0.25">
      <c r="B133" s="268">
        <v>2015</v>
      </c>
      <c r="C133" s="269">
        <v>8</v>
      </c>
      <c r="D133" s="245">
        <v>100.36</v>
      </c>
    </row>
    <row r="134" spans="2:4" x14ac:dyDescent="0.25">
      <c r="B134" s="268">
        <v>2015</v>
      </c>
      <c r="C134" s="269">
        <v>7</v>
      </c>
      <c r="D134" s="245">
        <v>100.03</v>
      </c>
    </row>
    <row r="135" spans="2:4" x14ac:dyDescent="0.25">
      <c r="B135" s="268">
        <v>2015</v>
      </c>
      <c r="C135" s="269">
        <v>6</v>
      </c>
      <c r="D135" s="245">
        <v>100.45</v>
      </c>
    </row>
    <row r="136" spans="2:4" x14ac:dyDescent="0.25">
      <c r="B136" s="268">
        <v>2015</v>
      </c>
      <c r="C136" s="269">
        <v>5</v>
      </c>
      <c r="D136" s="245">
        <v>100.53</v>
      </c>
    </row>
    <row r="137" spans="2:4" x14ac:dyDescent="0.25">
      <c r="B137" s="268">
        <v>2015</v>
      </c>
      <c r="C137" s="269">
        <v>4</v>
      </c>
      <c r="D137" s="245">
        <v>100.29</v>
      </c>
    </row>
    <row r="138" spans="2:4" x14ac:dyDescent="0.25">
      <c r="B138" s="268">
        <v>2015</v>
      </c>
      <c r="C138" s="269">
        <v>3</v>
      </c>
      <c r="D138" s="245">
        <v>100.17</v>
      </c>
    </row>
    <row r="139" spans="2:4" x14ac:dyDescent="0.25">
      <c r="B139" s="268">
        <v>2015</v>
      </c>
      <c r="C139" s="269">
        <v>2</v>
      </c>
      <c r="D139" s="245">
        <v>99.51</v>
      </c>
    </row>
    <row r="140" spans="2:4" ht="15.75" thickBot="1" x14ac:dyDescent="0.3">
      <c r="B140" s="270">
        <v>2015</v>
      </c>
      <c r="C140" s="271">
        <v>1</v>
      </c>
      <c r="D140" s="273">
        <v>98.85</v>
      </c>
    </row>
    <row r="141" spans="2:4" x14ac:dyDescent="0.25">
      <c r="B141" s="267">
        <v>2014</v>
      </c>
      <c r="C141" s="244">
        <v>12</v>
      </c>
      <c r="D141" s="272">
        <v>99.86</v>
      </c>
    </row>
    <row r="142" spans="2:4" x14ac:dyDescent="0.25">
      <c r="B142" s="268">
        <v>2014</v>
      </c>
      <c r="C142" s="269">
        <v>11</v>
      </c>
      <c r="D142" s="245">
        <v>99.78</v>
      </c>
    </row>
    <row r="143" spans="2:4" x14ac:dyDescent="0.25">
      <c r="B143" s="268">
        <v>2014</v>
      </c>
      <c r="C143" s="269">
        <v>10</v>
      </c>
      <c r="D143" s="245">
        <v>99.95</v>
      </c>
    </row>
    <row r="144" spans="2:4" x14ac:dyDescent="0.25">
      <c r="B144" s="268">
        <v>2014</v>
      </c>
      <c r="C144" s="269">
        <v>9</v>
      </c>
      <c r="D144" s="245">
        <v>99.92</v>
      </c>
    </row>
    <row r="145" spans="2:4" x14ac:dyDescent="0.25">
      <c r="B145" s="268">
        <v>2014</v>
      </c>
      <c r="C145" s="269">
        <v>8</v>
      </c>
      <c r="D145" s="245">
        <v>100.31</v>
      </c>
    </row>
    <row r="146" spans="2:4" x14ac:dyDescent="0.25">
      <c r="B146" s="268">
        <v>2014</v>
      </c>
      <c r="C146" s="269">
        <v>7</v>
      </c>
      <c r="D146" s="245">
        <v>99.87</v>
      </c>
    </row>
    <row r="147" spans="2:4" x14ac:dyDescent="0.25">
      <c r="B147" s="268">
        <v>2014</v>
      </c>
      <c r="C147" s="269">
        <v>6</v>
      </c>
      <c r="D147" s="245">
        <v>100.19</v>
      </c>
    </row>
    <row r="148" spans="2:4" x14ac:dyDescent="0.25">
      <c r="B148" s="268">
        <v>2014</v>
      </c>
      <c r="C148" s="269">
        <v>5</v>
      </c>
      <c r="D148" s="245">
        <v>100.23</v>
      </c>
    </row>
    <row r="149" spans="2:4" x14ac:dyDescent="0.25">
      <c r="B149" s="268">
        <v>2014</v>
      </c>
      <c r="C149" s="269">
        <v>4</v>
      </c>
      <c r="D149" s="245">
        <v>100.2</v>
      </c>
    </row>
    <row r="150" spans="2:4" x14ac:dyDescent="0.25">
      <c r="B150" s="268">
        <v>2014</v>
      </c>
      <c r="C150" s="269">
        <v>3</v>
      </c>
      <c r="D150" s="245">
        <v>100.25</v>
      </c>
    </row>
    <row r="151" spans="2:4" x14ac:dyDescent="0.25">
      <c r="B151" s="268">
        <v>2014</v>
      </c>
      <c r="C151" s="269">
        <v>2</v>
      </c>
      <c r="D151" s="245">
        <v>99.79</v>
      </c>
    </row>
    <row r="152" spans="2:4" ht="15.75" thickBot="1" x14ac:dyDescent="0.3">
      <c r="B152" s="270">
        <v>2014</v>
      </c>
      <c r="C152" s="271">
        <v>1</v>
      </c>
      <c r="D152" s="273">
        <v>99.26</v>
      </c>
    </row>
    <row r="153" spans="2:4" x14ac:dyDescent="0.25">
      <c r="B153" s="267">
        <v>2013</v>
      </c>
      <c r="C153" s="244">
        <v>12</v>
      </c>
      <c r="D153" s="272">
        <v>99.87</v>
      </c>
    </row>
    <row r="154" spans="2:4" x14ac:dyDescent="0.25">
      <c r="B154" s="268">
        <v>2013</v>
      </c>
      <c r="C154" s="269">
        <v>11</v>
      </c>
      <c r="D154" s="245">
        <v>99.52</v>
      </c>
    </row>
    <row r="155" spans="2:4" x14ac:dyDescent="0.25">
      <c r="B155" s="268">
        <v>2013</v>
      </c>
      <c r="C155" s="269">
        <v>10</v>
      </c>
      <c r="D155" s="245">
        <v>99.57</v>
      </c>
    </row>
    <row r="156" spans="2:4" x14ac:dyDescent="0.25">
      <c r="B156" s="268">
        <v>2013</v>
      </c>
      <c r="C156" s="269">
        <v>9</v>
      </c>
      <c r="D156" s="245">
        <v>99.7</v>
      </c>
    </row>
    <row r="157" spans="2:4" x14ac:dyDescent="0.25">
      <c r="B157" s="268">
        <v>2013</v>
      </c>
      <c r="C157" s="269">
        <v>8</v>
      </c>
      <c r="D157" s="245">
        <v>99.94</v>
      </c>
    </row>
    <row r="158" spans="2:4" x14ac:dyDescent="0.25">
      <c r="B158" s="268">
        <v>2013</v>
      </c>
      <c r="C158" s="269">
        <v>7</v>
      </c>
      <c r="D158" s="245">
        <v>99.5</v>
      </c>
    </row>
    <row r="159" spans="2:4" x14ac:dyDescent="0.25">
      <c r="B159" s="268">
        <v>2013</v>
      </c>
      <c r="C159" s="269">
        <v>6</v>
      </c>
      <c r="D159" s="245">
        <v>99.84</v>
      </c>
    </row>
    <row r="160" spans="2:4" x14ac:dyDescent="0.25">
      <c r="B160" s="268">
        <v>2013</v>
      </c>
      <c r="C160" s="269">
        <v>5</v>
      </c>
      <c r="D160" s="245">
        <v>99.67</v>
      </c>
    </row>
    <row r="161" spans="2:4" x14ac:dyDescent="0.25">
      <c r="B161" s="268">
        <v>2013</v>
      </c>
      <c r="C161" s="269">
        <v>4</v>
      </c>
      <c r="D161" s="245">
        <v>99.62</v>
      </c>
    </row>
    <row r="162" spans="2:4" x14ac:dyDescent="0.25">
      <c r="B162" s="268">
        <v>2013</v>
      </c>
      <c r="C162" s="269">
        <v>3</v>
      </c>
      <c r="D162" s="245">
        <v>99.77</v>
      </c>
    </row>
    <row r="163" spans="2:4" x14ac:dyDescent="0.25">
      <c r="B163" s="268">
        <v>2013</v>
      </c>
      <c r="C163" s="269">
        <v>2</v>
      </c>
      <c r="D163" s="245">
        <v>99</v>
      </c>
    </row>
    <row r="164" spans="2:4" ht="15.75" thickBot="1" x14ac:dyDescent="0.3">
      <c r="B164" s="270">
        <v>2013</v>
      </c>
      <c r="C164" s="271">
        <v>1</v>
      </c>
      <c r="D164" s="273">
        <v>98.71</v>
      </c>
    </row>
    <row r="165" spans="2:4" x14ac:dyDescent="0.25">
      <c r="B165" s="267">
        <v>2012</v>
      </c>
      <c r="C165" s="244">
        <v>12</v>
      </c>
      <c r="D165" s="272">
        <v>99.23</v>
      </c>
    </row>
    <row r="166" spans="2:4" x14ac:dyDescent="0.25">
      <c r="B166" s="268">
        <v>2012</v>
      </c>
      <c r="C166" s="269">
        <v>11</v>
      </c>
      <c r="D166" s="245">
        <v>98.91</v>
      </c>
    </row>
    <row r="167" spans="2:4" x14ac:dyDescent="0.25">
      <c r="B167" s="268">
        <v>2012</v>
      </c>
      <c r="C167" s="269">
        <v>10</v>
      </c>
      <c r="D167" s="245">
        <v>99.07</v>
      </c>
    </row>
    <row r="168" spans="2:4" x14ac:dyDescent="0.25">
      <c r="B168" s="268">
        <v>2012</v>
      </c>
      <c r="C168" s="269">
        <v>9</v>
      </c>
      <c r="D168" s="245">
        <v>99.01</v>
      </c>
    </row>
    <row r="169" spans="2:4" x14ac:dyDescent="0.25">
      <c r="B169" s="268">
        <v>2012</v>
      </c>
      <c r="C169" s="269">
        <v>8</v>
      </c>
      <c r="D169" s="245">
        <v>99.27</v>
      </c>
    </row>
    <row r="170" spans="2:4" x14ac:dyDescent="0.25">
      <c r="B170" s="268">
        <v>2012</v>
      </c>
      <c r="C170" s="269">
        <v>7</v>
      </c>
      <c r="D170" s="245">
        <v>98.6</v>
      </c>
    </row>
    <row r="171" spans="2:4" x14ac:dyDescent="0.25">
      <c r="B171" s="268">
        <v>2012</v>
      </c>
      <c r="C171" s="269">
        <v>6</v>
      </c>
      <c r="D171" s="245">
        <v>99.04</v>
      </c>
    </row>
    <row r="172" spans="2:4" x14ac:dyDescent="0.25">
      <c r="B172" s="268">
        <v>2012</v>
      </c>
      <c r="C172" s="269">
        <v>5</v>
      </c>
      <c r="D172" s="245">
        <v>99</v>
      </c>
    </row>
    <row r="173" spans="2:4" x14ac:dyDescent="0.25">
      <c r="B173" s="268">
        <v>2012</v>
      </c>
      <c r="C173" s="269">
        <v>4</v>
      </c>
      <c r="D173" s="245">
        <v>99.06</v>
      </c>
    </row>
    <row r="174" spans="2:4" x14ac:dyDescent="0.25">
      <c r="B174" s="268">
        <v>2012</v>
      </c>
      <c r="C174" s="269">
        <v>3</v>
      </c>
      <c r="D174" s="245">
        <v>98.93</v>
      </c>
    </row>
    <row r="175" spans="2:4" x14ac:dyDescent="0.25">
      <c r="B175" s="268">
        <v>2012</v>
      </c>
      <c r="C175" s="269">
        <v>2</v>
      </c>
      <c r="D175" s="245">
        <v>98.09</v>
      </c>
    </row>
    <row r="176" spans="2:4" ht="15.75" thickBot="1" x14ac:dyDescent="0.3">
      <c r="B176" s="270">
        <v>2012</v>
      </c>
      <c r="C176" s="271">
        <v>1</v>
      </c>
      <c r="D176" s="273">
        <v>97.68</v>
      </c>
    </row>
    <row r="177" spans="2:4" x14ac:dyDescent="0.25">
      <c r="B177" s="267">
        <v>2011</v>
      </c>
      <c r="C177" s="244">
        <v>12</v>
      </c>
      <c r="D177" s="272">
        <v>98.04</v>
      </c>
    </row>
    <row r="178" spans="2:4" x14ac:dyDescent="0.25">
      <c r="B178" s="268">
        <v>2011</v>
      </c>
      <c r="C178" s="269">
        <v>11</v>
      </c>
      <c r="D178" s="245">
        <v>97.64</v>
      </c>
    </row>
    <row r="179" spans="2:4" x14ac:dyDescent="0.25">
      <c r="B179" s="268">
        <v>2011</v>
      </c>
      <c r="C179" s="269">
        <v>10</v>
      </c>
      <c r="D179" s="245">
        <v>97.42</v>
      </c>
    </row>
    <row r="180" spans="2:4" x14ac:dyDescent="0.25">
      <c r="B180" s="268">
        <v>2011</v>
      </c>
      <c r="C180" s="269">
        <v>9</v>
      </c>
      <c r="D180" s="245">
        <v>97.23</v>
      </c>
    </row>
    <row r="181" spans="2:4" x14ac:dyDescent="0.25">
      <c r="B181" s="268">
        <v>2011</v>
      </c>
      <c r="C181" s="269">
        <v>8</v>
      </c>
      <c r="D181" s="245">
        <v>97.31</v>
      </c>
    </row>
    <row r="182" spans="2:4" x14ac:dyDescent="0.25">
      <c r="B182" s="268">
        <v>2011</v>
      </c>
      <c r="C182" s="269">
        <v>7</v>
      </c>
      <c r="D182" s="245">
        <v>96.79</v>
      </c>
    </row>
    <row r="183" spans="2:4" x14ac:dyDescent="0.25">
      <c r="B183" s="268">
        <v>2011</v>
      </c>
      <c r="C183" s="269">
        <v>6</v>
      </c>
      <c r="D183" s="245">
        <v>97.23</v>
      </c>
    </row>
    <row r="184" spans="2:4" x14ac:dyDescent="0.25">
      <c r="B184" s="268">
        <v>2011</v>
      </c>
      <c r="C184" s="269">
        <v>5</v>
      </c>
      <c r="D184" s="245">
        <v>97.16</v>
      </c>
    </row>
    <row r="185" spans="2:4" x14ac:dyDescent="0.25">
      <c r="B185" s="268">
        <v>2011</v>
      </c>
      <c r="C185" s="269">
        <v>4</v>
      </c>
      <c r="D185" s="245">
        <v>97.1</v>
      </c>
    </row>
    <row r="186" spans="2:4" x14ac:dyDescent="0.25">
      <c r="B186" s="268">
        <v>2011</v>
      </c>
      <c r="C186" s="269">
        <v>3</v>
      </c>
      <c r="D186" s="245">
        <v>96.76</v>
      </c>
    </row>
    <row r="187" spans="2:4" x14ac:dyDescent="0.25">
      <c r="B187" s="268">
        <v>2011</v>
      </c>
      <c r="C187" s="269">
        <v>2</v>
      </c>
      <c r="D187" s="245">
        <v>95.97</v>
      </c>
    </row>
    <row r="188" spans="2:4" ht="15.75" thickBot="1" x14ac:dyDescent="0.3">
      <c r="B188" s="270">
        <v>2011</v>
      </c>
      <c r="C188" s="271">
        <v>1</v>
      </c>
      <c r="D188" s="273">
        <v>95.51</v>
      </c>
    </row>
  </sheetData>
  <mergeCells count="2">
    <mergeCell ref="B6:D6"/>
    <mergeCell ref="B7:D7"/>
  </mergeCells>
  <hyperlinks>
    <hyperlink ref="D8" r:id="rId1" xr:uid="{00000000-0004-0000-0200-000000000000}"/>
  </hyperlinks>
  <pageMargins left="0.7" right="0.7" top="0.75" bottom="0.75" header="0.3" footer="0.3"/>
  <pageSetup paperSize="9" orientation="portrait" r:id="rId2"/>
  <ignoredErrors>
    <ignoredError sqref="G7:H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I49"/>
  <sheetViews>
    <sheetView topLeftCell="A13" zoomScale="85" zoomScaleNormal="85" workbookViewId="0">
      <selection activeCell="C49" sqref="C49"/>
    </sheetView>
  </sheetViews>
  <sheetFormatPr baseColWidth="10" defaultColWidth="11.28515625" defaultRowHeight="15" x14ac:dyDescent="0.25"/>
  <cols>
    <col min="2" max="2" width="92.7109375" customWidth="1"/>
    <col min="3" max="3" width="11.85546875" bestFit="1" customWidth="1"/>
    <col min="4" max="4" width="12.140625" bestFit="1" customWidth="1"/>
    <col min="5" max="6" width="12" bestFit="1" customWidth="1"/>
    <col min="8" max="8" width="18.28515625" customWidth="1"/>
  </cols>
  <sheetData>
    <row r="1" spans="1:8" ht="15.75" x14ac:dyDescent="0.3">
      <c r="B1" s="72" t="s">
        <v>81</v>
      </c>
      <c r="C1" s="79"/>
      <c r="D1" s="76"/>
      <c r="E1" s="83"/>
    </row>
    <row r="2" spans="1:8" ht="15.75" x14ac:dyDescent="0.3">
      <c r="B2" s="70" t="s">
        <v>82</v>
      </c>
      <c r="C2" s="80"/>
      <c r="D2" s="73"/>
      <c r="E2" s="74"/>
    </row>
    <row r="3" spans="1:8" ht="15.75" x14ac:dyDescent="0.3">
      <c r="B3" s="71" t="s">
        <v>83</v>
      </c>
      <c r="C3" s="81"/>
      <c r="D3" s="77"/>
      <c r="E3" s="84"/>
    </row>
    <row r="4" spans="1:8" ht="15.75" thickBot="1" x14ac:dyDescent="0.3"/>
    <row r="5" spans="1:8" ht="15.75" thickBot="1" x14ac:dyDescent="0.3">
      <c r="A5" s="119"/>
      <c r="B5" s="116" t="s">
        <v>93</v>
      </c>
      <c r="C5" s="116">
        <v>2021</v>
      </c>
      <c r="D5" s="116">
        <v>2022</v>
      </c>
      <c r="E5" s="116">
        <v>2023</v>
      </c>
      <c r="F5" s="116">
        <v>2024</v>
      </c>
      <c r="G5" s="1"/>
      <c r="H5" s="508"/>
    </row>
    <row r="6" spans="1:8" ht="15.75" thickBot="1" x14ac:dyDescent="0.3">
      <c r="A6" s="617" t="s">
        <v>94</v>
      </c>
      <c r="B6" s="326" t="s">
        <v>105</v>
      </c>
      <c r="C6" s="324"/>
      <c r="D6" s="324"/>
      <c r="E6" s="324"/>
      <c r="F6" s="325"/>
      <c r="G6" s="1"/>
    </row>
    <row r="7" spans="1:8" ht="15.6" customHeight="1" thickBot="1" x14ac:dyDescent="0.35">
      <c r="A7" s="617"/>
      <c r="B7" s="399" t="s">
        <v>53</v>
      </c>
      <c r="C7" s="416">
        <f>SUM(C9:C9)</f>
        <v>1479.7933324913499</v>
      </c>
      <c r="D7" s="576">
        <f>SUM(D8:D9)</f>
        <v>1711.6448802387961</v>
      </c>
      <c r="E7" s="397">
        <f>SUM(E8:E9)</f>
        <v>1823.6871737768365</v>
      </c>
      <c r="F7" s="401">
        <f>SUM(F8:F9)</f>
        <v>1913.1562999108671</v>
      </c>
      <c r="G7" s="1"/>
    </row>
    <row r="8" spans="1:8" ht="16.5" thickBot="1" x14ac:dyDescent="0.35">
      <c r="A8" s="617"/>
      <c r="B8" s="400" t="s">
        <v>291</v>
      </c>
      <c r="C8" s="499">
        <v>168.853411648974</v>
      </c>
      <c r="D8" s="576">
        <v>180.28004027440599</v>
      </c>
      <c r="E8" s="397">
        <f>'Equilibre prévisionnel'!G13</f>
        <v>223.04307416972861</v>
      </c>
      <c r="F8" s="401">
        <f>'Equilibre prévisionnel'!H13</f>
        <v>235.11115152362325</v>
      </c>
    </row>
    <row r="9" spans="1:8" ht="16.5" thickBot="1" x14ac:dyDescent="0.35">
      <c r="A9" s="617"/>
      <c r="B9" s="129" t="s">
        <v>300</v>
      </c>
      <c r="C9" s="416">
        <v>1479.7933324913499</v>
      </c>
      <c r="D9" s="576">
        <v>1531.3648399643901</v>
      </c>
      <c r="E9" s="397">
        <f>'Equilibre prévisionnel'!G14</f>
        <v>1600.6440996071078</v>
      </c>
      <c r="F9" s="401">
        <f>'Equilibre prévisionnel'!H14</f>
        <v>1678.0451483872439</v>
      </c>
    </row>
    <row r="10" spans="1:8" ht="16.5" thickBot="1" x14ac:dyDescent="0.35">
      <c r="A10" s="617"/>
      <c r="B10" s="258" t="s">
        <v>95</v>
      </c>
      <c r="C10" s="419">
        <f>558.930038383+C11</f>
        <v>551.99352879728895</v>
      </c>
      <c r="D10" s="576">
        <f>454.251295336+D11</f>
        <v>454.50670387660995</v>
      </c>
      <c r="E10" s="397">
        <f>'Equilibre prévisionnel'!G15</f>
        <v>516.66540672142264</v>
      </c>
      <c r="F10" s="401">
        <f>'Equilibre prévisionnel'!H15</f>
        <v>530.11294853251388</v>
      </c>
    </row>
    <row r="11" spans="1:8" ht="16.5" thickBot="1" x14ac:dyDescent="0.35">
      <c r="A11" s="617"/>
      <c r="B11" s="129" t="s">
        <v>96</v>
      </c>
      <c r="C11" s="451">
        <v>-6.9365095857110113</v>
      </c>
      <c r="D11" s="577">
        <v>0.25540854060996399</v>
      </c>
      <c r="E11" s="397"/>
      <c r="F11" s="401"/>
      <c r="H11" s="252"/>
    </row>
    <row r="12" spans="1:8" ht="16.5" thickBot="1" x14ac:dyDescent="0.35">
      <c r="A12" s="617"/>
      <c r="B12" s="399" t="s">
        <v>259</v>
      </c>
      <c r="C12" s="452">
        <f>403.931556468</f>
        <v>403.931556468</v>
      </c>
      <c r="D12" s="603">
        <f>392.793516101</f>
        <v>392.79351610100002</v>
      </c>
      <c r="E12" s="397">
        <f>'Equilibre prévisionnel'!G16</f>
        <v>190.83523270474331</v>
      </c>
      <c r="F12" s="401">
        <f>'Equilibre prévisionnel'!H16</f>
        <v>191.83523270474331</v>
      </c>
    </row>
    <row r="13" spans="1:8" ht="16.5" thickBot="1" x14ac:dyDescent="0.35">
      <c r="A13" s="617"/>
      <c r="B13" s="129" t="s">
        <v>347</v>
      </c>
      <c r="C13" s="453">
        <v>-15</v>
      </c>
      <c r="D13" s="603">
        <v>2.0945999999999998</v>
      </c>
      <c r="E13" s="397"/>
      <c r="F13" s="401"/>
      <c r="H13" s="252"/>
    </row>
    <row r="14" spans="1:8" ht="16.5" thickBot="1" x14ac:dyDescent="0.35">
      <c r="A14" s="617"/>
      <c r="B14" s="399" t="s">
        <v>258</v>
      </c>
      <c r="C14" s="420">
        <v>60.061984776999999</v>
      </c>
      <c r="D14" s="603">
        <v>185.94194534299999</v>
      </c>
      <c r="E14" s="397">
        <f>'Equilibre prévisionnel'!G17</f>
        <v>37.095351377572499</v>
      </c>
      <c r="F14" s="401">
        <f>'Equilibre prévisionnel'!H17</f>
        <v>41.7064031870216</v>
      </c>
      <c r="H14" s="252"/>
    </row>
    <row r="15" spans="1:8" ht="16.5" thickBot="1" x14ac:dyDescent="0.35">
      <c r="A15" s="617"/>
      <c r="B15" s="399" t="s">
        <v>55</v>
      </c>
      <c r="C15" s="417">
        <v>75.560988899999998</v>
      </c>
      <c r="D15" s="576">
        <v>62.639432999999997</v>
      </c>
      <c r="E15" s="397">
        <f>'Equilibre prévisionnel'!G18</f>
        <v>73.841666666666697</v>
      </c>
      <c r="F15" s="401">
        <f>'Equilibre prévisionnel'!H18</f>
        <v>73.841666666666697</v>
      </c>
    </row>
    <row r="16" spans="1:8" ht="16.5" thickBot="1" x14ac:dyDescent="0.35">
      <c r="A16" s="617"/>
      <c r="B16" s="399" t="s">
        <v>303</v>
      </c>
      <c r="C16" s="500">
        <v>34.758536230000004</v>
      </c>
      <c r="D16" s="576">
        <v>43.159096130000002</v>
      </c>
      <c r="E16" s="397">
        <f>'Equilibre prévisionnel'!G19</f>
        <v>29.909126840885332</v>
      </c>
      <c r="F16" s="401">
        <f>'Equilibre prévisionnel'!H19</f>
        <v>29.998763743498614</v>
      </c>
    </row>
    <row r="17" spans="1:8" ht="16.5" thickBot="1" x14ac:dyDescent="0.35">
      <c r="A17" s="617"/>
      <c r="B17" s="404" t="s">
        <v>97</v>
      </c>
      <c r="C17" s="416">
        <v>0</v>
      </c>
      <c r="D17" s="578">
        <v>0.115</v>
      </c>
      <c r="E17" s="397">
        <v>1.7709698591999998</v>
      </c>
      <c r="F17" s="401">
        <v>1.7709698591999998</v>
      </c>
    </row>
    <row r="18" spans="1:8" ht="27.75" thickBot="1" x14ac:dyDescent="0.35">
      <c r="A18" s="617"/>
      <c r="B18" s="399" t="s">
        <v>56</v>
      </c>
      <c r="C18" s="420">
        <v>3.1</v>
      </c>
      <c r="D18" s="576">
        <v>0</v>
      </c>
      <c r="E18" s="397">
        <f>'Equilibre prévisionnel'!G20</f>
        <v>0</v>
      </c>
      <c r="F18" s="401">
        <f>'Equilibre prévisionnel'!H20</f>
        <v>0</v>
      </c>
      <c r="G18" s="252"/>
      <c r="H18" s="179"/>
    </row>
    <row r="19" spans="1:8" ht="27.75" thickBot="1" x14ac:dyDescent="0.35">
      <c r="A19" s="617"/>
      <c r="B19" s="399" t="s">
        <v>61</v>
      </c>
      <c r="C19" s="499">
        <v>-14.37887025</v>
      </c>
      <c r="D19" s="576">
        <v>-17.123417910000001</v>
      </c>
      <c r="E19" s="397">
        <f>'Equilibre prévisionnel'!G21</f>
        <v>0</v>
      </c>
      <c r="F19" s="401">
        <f>'Equilibre prévisionnel'!H21</f>
        <v>0</v>
      </c>
    </row>
    <row r="20" spans="1:8" ht="27.75" thickBot="1" x14ac:dyDescent="0.35">
      <c r="A20" s="617"/>
      <c r="B20" s="258" t="s">
        <v>247</v>
      </c>
      <c r="C20" s="405">
        <f>'Equilibre prévisionnel'!E22</f>
        <v>0</v>
      </c>
      <c r="D20" s="579">
        <v>0</v>
      </c>
      <c r="E20" s="397">
        <f>'Equilibre prévisionnel'!G22</f>
        <v>0</v>
      </c>
      <c r="F20" s="401">
        <f>'Equilibre prévisionnel'!H22</f>
        <v>0</v>
      </c>
      <c r="H20" s="252"/>
    </row>
    <row r="21" spans="1:8" ht="16.5" thickBot="1" x14ac:dyDescent="0.35">
      <c r="A21" s="617"/>
      <c r="B21" s="258" t="s">
        <v>269</v>
      </c>
      <c r="C21" s="417">
        <f>'Equilibre prévisionnel'!E23</f>
        <v>0</v>
      </c>
      <c r="D21" s="580">
        <f>'Equilibre prévisionnel'!F23</f>
        <v>0</v>
      </c>
      <c r="E21" s="397">
        <f>'Equilibre prévisionnel'!G23</f>
        <v>0</v>
      </c>
      <c r="F21" s="401">
        <f>'Equilibre prévisionnel'!H23</f>
        <v>0</v>
      </c>
    </row>
    <row r="22" spans="1:8" ht="16.5" thickBot="1" x14ac:dyDescent="0.35">
      <c r="A22" s="617"/>
      <c r="B22" s="402" t="s">
        <v>346</v>
      </c>
      <c r="C22" s="421">
        <f>80%*(0.149)</f>
        <v>0.1192</v>
      </c>
      <c r="D22" s="591">
        <v>0</v>
      </c>
      <c r="E22" s="397"/>
      <c r="F22" s="401"/>
      <c r="H22" s="179"/>
    </row>
    <row r="23" spans="1:8" ht="27.75" thickBot="1" x14ac:dyDescent="0.35">
      <c r="A23" s="617"/>
      <c r="B23" s="402" t="s">
        <v>57</v>
      </c>
      <c r="C23" s="418">
        <f>'Equilibre prévisionnel'!E24</f>
        <v>0</v>
      </c>
      <c r="D23" s="580">
        <v>0</v>
      </c>
      <c r="E23" s="397">
        <f>'Equilibre prévisionnel'!G24</f>
        <v>0</v>
      </c>
      <c r="F23" s="401">
        <f>'Equilibre prévisionnel'!H24</f>
        <v>0</v>
      </c>
    </row>
    <row r="24" spans="1:8" x14ac:dyDescent="0.25">
      <c r="A24" s="415"/>
    </row>
    <row r="25" spans="1:8" ht="15.75" thickBot="1" x14ac:dyDescent="0.3">
      <c r="A25" s="413"/>
      <c r="B25" s="327" t="s">
        <v>106</v>
      </c>
      <c r="C25" s="403"/>
    </row>
    <row r="26" spans="1:8" ht="16.5" thickBot="1" x14ac:dyDescent="0.35">
      <c r="A26" s="414"/>
      <c r="B26" s="399" t="s">
        <v>60</v>
      </c>
      <c r="C26" s="453">
        <v>-777.76097722999998</v>
      </c>
      <c r="D26" s="582">
        <v>-2590.9</v>
      </c>
      <c r="E26" s="396">
        <v>-343.4</v>
      </c>
      <c r="F26" s="396">
        <v>-341.50000000000006</v>
      </c>
      <c r="H26" s="179"/>
    </row>
    <row r="27" spans="1:8" ht="16.5" thickBot="1" x14ac:dyDescent="0.35">
      <c r="A27" s="632" t="s">
        <v>59</v>
      </c>
      <c r="B27" s="399" t="s">
        <v>249</v>
      </c>
      <c r="C27" s="501">
        <v>-0.41662281200000001</v>
      </c>
      <c r="D27" s="582">
        <v>1.7247995899999999</v>
      </c>
      <c r="E27" s="396">
        <v>0</v>
      </c>
      <c r="F27" s="396">
        <v>0</v>
      </c>
    </row>
    <row r="28" spans="1:8" ht="15.6" customHeight="1" thickBot="1" x14ac:dyDescent="0.35">
      <c r="A28" s="617"/>
      <c r="B28" s="399" t="s">
        <v>250</v>
      </c>
      <c r="C28" s="502">
        <v>-6.2645624599999996</v>
      </c>
      <c r="D28" s="582">
        <v>-15.406411050000001</v>
      </c>
      <c r="E28" s="396">
        <v>-14.266666666666666</v>
      </c>
      <c r="F28" s="396">
        <v>-14.266666666666666</v>
      </c>
    </row>
    <row r="29" spans="1:8" ht="16.5" thickBot="1" x14ac:dyDescent="0.35">
      <c r="A29" s="617"/>
      <c r="B29" s="399" t="s">
        <v>251</v>
      </c>
      <c r="C29" s="502">
        <v>-8.8323611199999998</v>
      </c>
      <c r="D29" s="582">
        <v>-32.9940116</v>
      </c>
      <c r="E29" s="396">
        <v>-11.233333333333334</v>
      </c>
      <c r="F29" s="396">
        <v>-11.233333333333334</v>
      </c>
    </row>
    <row r="30" spans="1:8" ht="16.5" thickBot="1" x14ac:dyDescent="0.35">
      <c r="A30" s="633"/>
      <c r="B30" s="399" t="s">
        <v>252</v>
      </c>
      <c r="C30" s="453">
        <f>80%*(-0.457)</f>
        <v>-0.36560000000000004</v>
      </c>
      <c r="D30" s="598">
        <v>-0.41321184799999999</v>
      </c>
      <c r="E30" s="396">
        <v>0</v>
      </c>
      <c r="F30" s="396">
        <v>0</v>
      </c>
      <c r="H30" s="179"/>
    </row>
    <row r="31" spans="1:8" ht="16.5" thickBot="1" x14ac:dyDescent="0.35">
      <c r="A31" s="258"/>
      <c r="B31" s="399" t="s">
        <v>253</v>
      </c>
      <c r="C31" s="503">
        <v>0</v>
      </c>
      <c r="D31" s="582">
        <v>0</v>
      </c>
      <c r="E31" s="396">
        <v>0</v>
      </c>
      <c r="F31" s="396">
        <v>0</v>
      </c>
    </row>
    <row r="32" spans="1:8" x14ac:dyDescent="0.25">
      <c r="A32" s="320"/>
    </row>
    <row r="33" spans="1:9" ht="15.75" thickBot="1" x14ac:dyDescent="0.3">
      <c r="A33" s="320"/>
      <c r="B33" s="327" t="s">
        <v>254</v>
      </c>
    </row>
    <row r="34" spans="1:9" ht="15.75" thickBot="1" x14ac:dyDescent="0.3">
      <c r="A34" s="623" t="s">
        <v>63</v>
      </c>
      <c r="B34" s="258" t="s">
        <v>266</v>
      </c>
      <c r="C34" s="504">
        <v>1.526</v>
      </c>
      <c r="D34" s="581">
        <v>3.2719999999999998</v>
      </c>
      <c r="E34" s="243"/>
      <c r="F34" s="253"/>
      <c r="G34" s="571"/>
      <c r="H34" s="179"/>
      <c r="I34" s="596"/>
    </row>
    <row r="35" spans="1:9" ht="15.75" thickBot="1" x14ac:dyDescent="0.3">
      <c r="A35" s="623"/>
      <c r="B35" s="258" t="s">
        <v>65</v>
      </c>
      <c r="C35" s="504">
        <v>-9.9399999999999977</v>
      </c>
      <c r="D35" s="581">
        <v>-0.87</v>
      </c>
      <c r="E35" s="243"/>
      <c r="F35" s="253"/>
      <c r="H35" s="179"/>
    </row>
    <row r="36" spans="1:9" ht="15" customHeight="1" thickBot="1" x14ac:dyDescent="0.3">
      <c r="A36" s="623"/>
      <c r="B36" s="258" t="s">
        <v>255</v>
      </c>
      <c r="C36" s="505"/>
      <c r="D36" s="581">
        <v>0</v>
      </c>
      <c r="E36" s="243"/>
      <c r="F36" s="253"/>
      <c r="H36" s="179"/>
    </row>
    <row r="37" spans="1:9" ht="15.75" thickBot="1" x14ac:dyDescent="0.3">
      <c r="A37" s="623"/>
      <c r="B37" s="258" t="s">
        <v>64</v>
      </c>
      <c r="C37" s="504">
        <v>2.0565609999999999</v>
      </c>
      <c r="D37" s="600">
        <v>7.2300000000000003E-2</v>
      </c>
      <c r="E37" s="243"/>
      <c r="F37" s="253"/>
      <c r="H37" s="252"/>
    </row>
    <row r="38" spans="1:9" ht="16.5" thickBot="1" x14ac:dyDescent="0.35">
      <c r="A38" s="623"/>
      <c r="B38" s="258" t="s">
        <v>66</v>
      </c>
      <c r="C38" s="506">
        <v>-5.8859999999999948</v>
      </c>
      <c r="D38" s="581">
        <v>0</v>
      </c>
      <c r="E38" s="243"/>
      <c r="F38" s="253"/>
      <c r="H38" s="179"/>
    </row>
    <row r="39" spans="1:9" ht="15.75" thickBot="1" x14ac:dyDescent="0.3">
      <c r="A39" s="623"/>
      <c r="B39" s="258" t="s">
        <v>257</v>
      </c>
      <c r="C39" s="507">
        <v>0</v>
      </c>
      <c r="D39" s="581">
        <v>0</v>
      </c>
      <c r="E39" s="243"/>
      <c r="F39" s="253"/>
      <c r="H39" s="179"/>
    </row>
    <row r="40" spans="1:9" ht="15.75" thickBot="1" x14ac:dyDescent="0.3">
      <c r="A40" s="634"/>
      <c r="B40" s="349" t="s">
        <v>256</v>
      </c>
      <c r="C40" s="110">
        <v>0</v>
      </c>
      <c r="D40" s="581">
        <v>0</v>
      </c>
      <c r="E40" s="243"/>
      <c r="F40" s="253"/>
    </row>
    <row r="41" spans="1:9" ht="15.75" thickBot="1" x14ac:dyDescent="0.3"/>
    <row r="42" spans="1:9" ht="15.75" thickBot="1" x14ac:dyDescent="0.3">
      <c r="A42" s="630" t="s">
        <v>302</v>
      </c>
      <c r="B42" s="258" t="s">
        <v>69</v>
      </c>
      <c r="C42" s="140"/>
      <c r="D42" s="140"/>
      <c r="E42" s="140"/>
      <c r="F42" s="110">
        <v>0</v>
      </c>
    </row>
    <row r="43" spans="1:9" ht="15.75" thickBot="1" x14ac:dyDescent="0.3">
      <c r="A43" s="631"/>
      <c r="B43" s="258" t="s">
        <v>278</v>
      </c>
      <c r="C43" s="140"/>
      <c r="D43" s="140"/>
      <c r="E43" s="140"/>
      <c r="F43" s="110">
        <v>0</v>
      </c>
      <c r="H43" s="252"/>
    </row>
    <row r="44" spans="1:9" ht="15.75" thickBot="1" x14ac:dyDescent="0.3">
      <c r="A44" s="631"/>
      <c r="B44" s="258" t="s">
        <v>320</v>
      </c>
      <c r="C44" s="140"/>
      <c r="D44" s="140"/>
      <c r="E44" s="140"/>
      <c r="F44" s="110">
        <v>0</v>
      </c>
      <c r="H44" s="252"/>
    </row>
    <row r="45" spans="1:9" ht="15.75" thickBot="1" x14ac:dyDescent="0.3">
      <c r="B45" s="106"/>
    </row>
    <row r="46" spans="1:9" ht="15.75" thickBot="1" x14ac:dyDescent="0.3">
      <c r="B46" s="116" t="s">
        <v>98</v>
      </c>
      <c r="C46" s="116">
        <v>2021</v>
      </c>
      <c r="D46" s="116">
        <v>2022</v>
      </c>
      <c r="E46" s="116">
        <v>2023</v>
      </c>
      <c r="F46" s="116">
        <v>2024</v>
      </c>
    </row>
    <row r="47" spans="1:9" ht="16.5" thickBot="1" x14ac:dyDescent="0.35">
      <c r="B47" s="258" t="s">
        <v>99</v>
      </c>
      <c r="C47" s="405">
        <v>4337.5333570000003</v>
      </c>
      <c r="D47" s="598">
        <v>2188.7259552400001</v>
      </c>
      <c r="E47" s="406">
        <f>7/12*'Equilibre prévisionnel'!G54*'CRCP &amp; évolutions'!F85+5/12*'Equilibre prévisionnel'!G54*'CRCP &amp; évolutions'!G85+'Equilibre prévisionnel'!G60</f>
        <v>4437.4411129077744</v>
      </c>
      <c r="F47" s="406">
        <f>7/12*'Equilibre prévisionnel'!H54*'CRCP &amp; évolutions'!G85+5/12*'Equilibre prévisionnel'!H54*'CRCP &amp; évolutions'!H85+'Equilibre prévisionnel'!H60</f>
        <v>4655.9296196413297</v>
      </c>
    </row>
    <row r="49" spans="3:3" ht="15.75" x14ac:dyDescent="0.3">
      <c r="C49" s="605"/>
    </row>
  </sheetData>
  <mergeCells count="4">
    <mergeCell ref="A42:A44"/>
    <mergeCell ref="A27:A30"/>
    <mergeCell ref="A6:A23"/>
    <mergeCell ref="A34:A4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B1:P94"/>
  <sheetViews>
    <sheetView topLeftCell="A53" zoomScale="71" zoomScaleNormal="100" workbookViewId="0">
      <selection activeCell="J12" sqref="J12"/>
    </sheetView>
  </sheetViews>
  <sheetFormatPr baseColWidth="10" defaultColWidth="11.28515625" defaultRowHeight="15.75" x14ac:dyDescent="0.25"/>
  <cols>
    <col min="1" max="1" width="1.7109375" style="29" customWidth="1"/>
    <col min="2" max="2" width="5.7109375" style="29" customWidth="1"/>
    <col min="3" max="3" width="96.7109375" style="29" customWidth="1"/>
    <col min="4" max="4" width="23.28515625" style="32" customWidth="1"/>
    <col min="5" max="9" width="19.140625" style="32" customWidth="1"/>
    <col min="10" max="10" width="19" style="33" customWidth="1"/>
    <col min="11" max="11" width="19.7109375" style="32" customWidth="1"/>
    <col min="12" max="12" width="16.140625" style="29" customWidth="1"/>
    <col min="13" max="13" width="18" style="29" bestFit="1" customWidth="1"/>
    <col min="14" max="14" width="15.28515625" style="29" customWidth="1"/>
    <col min="15" max="16384" width="11.28515625" style="29"/>
  </cols>
  <sheetData>
    <row r="1" spans="2:14" ht="21" customHeight="1" thickBot="1" x14ac:dyDescent="0.3">
      <c r="C1" s="30" t="s">
        <v>100</v>
      </c>
      <c r="F1" s="164"/>
      <c r="G1" s="164"/>
    </row>
    <row r="2" spans="2:14" ht="17.25" thickBot="1" x14ac:dyDescent="0.3">
      <c r="C2" s="635" t="s">
        <v>101</v>
      </c>
      <c r="D2" s="636"/>
      <c r="E2" s="165">
        <v>2023</v>
      </c>
      <c r="F2" s="39"/>
      <c r="J2" s="256"/>
    </row>
    <row r="3" spans="2:14" ht="16.5" thickBot="1" x14ac:dyDescent="0.3">
      <c r="C3" s="162"/>
      <c r="D3" s="166"/>
      <c r="F3" s="411"/>
      <c r="G3" s="33"/>
      <c r="I3" s="29"/>
      <c r="J3" s="46"/>
      <c r="K3" s="29"/>
    </row>
    <row r="4" spans="2:14" ht="16.5" thickBot="1" x14ac:dyDescent="0.35">
      <c r="C4" s="154" t="s">
        <v>47</v>
      </c>
      <c r="D4" s="155">
        <f>'Equilibre prévisionnel'!G2</f>
        <v>1.7000000000000001E-2</v>
      </c>
      <c r="H4" s="33"/>
      <c r="J4" s="46"/>
    </row>
    <row r="5" spans="2:14" ht="16.5" thickBot="1" x14ac:dyDescent="0.35">
      <c r="C5" s="154" t="s">
        <v>327</v>
      </c>
      <c r="D5" s="155">
        <f>'Equilibre prévisionnel'!G3</f>
        <v>4.9220761724226899E-3</v>
      </c>
      <c r="H5" s="33"/>
      <c r="J5" s="32"/>
    </row>
    <row r="6" spans="2:14" ht="16.5" thickBot="1" x14ac:dyDescent="0.35">
      <c r="C6" s="154" t="s">
        <v>298</v>
      </c>
      <c r="D6" s="155">
        <f>'Equilibre prévisionnel'!G4</f>
        <v>1.092207617242269E-2</v>
      </c>
      <c r="H6" s="33"/>
      <c r="I6" s="254"/>
      <c r="J6" s="32"/>
    </row>
    <row r="7" spans="2:14" ht="13.9" customHeight="1" thickBot="1" x14ac:dyDescent="0.3">
      <c r="C7" s="31"/>
      <c r="D7" s="167"/>
    </row>
    <row r="8" spans="2:14" ht="21.6" customHeight="1" thickBot="1" x14ac:dyDescent="0.3">
      <c r="B8" s="637" t="s">
        <v>6</v>
      </c>
      <c r="C8" s="54" t="s">
        <v>102</v>
      </c>
      <c r="D8" s="328">
        <v>2020</v>
      </c>
      <c r="E8" s="328">
        <v>2021</v>
      </c>
      <c r="F8" s="328">
        <v>2022</v>
      </c>
      <c r="G8" s="328">
        <v>2023</v>
      </c>
      <c r="H8" s="328">
        <v>2024</v>
      </c>
      <c r="I8" s="163">
        <v>2021</v>
      </c>
      <c r="J8" s="32"/>
      <c r="K8" s="169"/>
      <c r="L8" s="34"/>
      <c r="M8" s="34"/>
      <c r="N8" s="34"/>
    </row>
    <row r="9" spans="2:14" ht="15.95" customHeight="1" thickBot="1" x14ac:dyDescent="0.3">
      <c r="B9" s="638"/>
      <c r="C9" s="544" t="s">
        <v>344</v>
      </c>
      <c r="D9" s="545"/>
      <c r="E9" s="546">
        <v>1.4999999999999999E-2</v>
      </c>
      <c r="F9" s="546">
        <f>IPC!I14</f>
        <v>1.4999999999999999E-2</v>
      </c>
      <c r="G9" s="546">
        <f>IPC!J14</f>
        <v>4.2000000000000003E-2</v>
      </c>
      <c r="H9" s="546">
        <f>IPC!K14</f>
        <v>0</v>
      </c>
      <c r="I9" s="411"/>
      <c r="J9" s="32"/>
    </row>
    <row r="10" spans="2:14" ht="15.95" customHeight="1" thickBot="1" x14ac:dyDescent="0.3">
      <c r="B10" s="638"/>
      <c r="C10" s="547" t="s">
        <v>328</v>
      </c>
      <c r="D10" s="548"/>
      <c r="E10" s="546">
        <v>1.55E-2</v>
      </c>
      <c r="F10" s="546">
        <f>IF($E$2&gt;F$8,IPC!I8,'Equilibre prévisionnel'!F7)</f>
        <v>5.3400000000000003E-2</v>
      </c>
      <c r="G10" s="546">
        <f>IF($E$2&gt;G$8,IPC!J8,'Equilibre prévisionnel'!G7)</f>
        <v>1.2E-2</v>
      </c>
      <c r="H10" s="546">
        <f>IF($E$2&gt;H$8,IPC!K8,'Equilibre prévisionnel'!H7)</f>
        <v>1.4999999999999999E-2</v>
      </c>
      <c r="J10" s="32"/>
    </row>
    <row r="11" spans="2:14" ht="15.95" customHeight="1" thickBot="1" x14ac:dyDescent="0.3">
      <c r="B11" s="638"/>
      <c r="C11" s="543" t="s">
        <v>329</v>
      </c>
      <c r="D11" s="549">
        <f>IPC!G10</f>
        <v>1.0020719230336808</v>
      </c>
      <c r="E11" s="549">
        <f>D11*(1+E10)</f>
        <v>1.017604037840703</v>
      </c>
      <c r="F11" s="550">
        <f>E11*(1+F10)</f>
        <v>1.0719440934613964</v>
      </c>
      <c r="G11" s="550">
        <f>F11*(1+G10)</f>
        <v>1.0848074225829332</v>
      </c>
      <c r="H11" s="549">
        <f t="shared" ref="H11" si="0">G11*(1+H10)</f>
        <v>1.101079533921677</v>
      </c>
      <c r="J11" s="32"/>
    </row>
    <row r="12" spans="2:14" ht="15.95" customHeight="1" thickBot="1" x14ac:dyDescent="0.3">
      <c r="B12" s="371"/>
      <c r="C12" s="543" t="s">
        <v>342</v>
      </c>
      <c r="D12" s="549"/>
      <c r="E12" s="549">
        <f>'Equilibre prévisionnel'!E8</f>
        <v>1.0080119999999999</v>
      </c>
      <c r="F12" s="575">
        <f>'Equilibre prévisionnel'!F8</f>
        <v>1.0180921199999999</v>
      </c>
      <c r="G12" s="549">
        <f>'Equilibre prévisionnel'!G8</f>
        <v>1.0303092254399999</v>
      </c>
      <c r="H12" s="549">
        <f>'Equilibre prévisionnel'!H8</f>
        <v>1.0457638638215998</v>
      </c>
      <c r="I12" s="46"/>
      <c r="J12" s="32"/>
    </row>
    <row r="13" spans="2:14" ht="16.5" thickBot="1" x14ac:dyDescent="0.3">
      <c r="B13" s="138"/>
      <c r="C13" s="55"/>
      <c r="D13" s="56"/>
      <c r="E13" s="36"/>
      <c r="F13" s="36"/>
      <c r="G13" s="36"/>
      <c r="H13" s="57"/>
      <c r="J13" s="32"/>
    </row>
    <row r="14" spans="2:14" ht="10.9" customHeight="1" thickBot="1" x14ac:dyDescent="0.3">
      <c r="B14" s="342"/>
      <c r="C14" s="58"/>
      <c r="D14" s="168"/>
      <c r="E14" s="348"/>
      <c r="F14" s="348"/>
      <c r="G14" s="348"/>
      <c r="H14" s="348"/>
      <c r="J14" s="32"/>
    </row>
    <row r="15" spans="2:14" ht="17.25" customHeight="1" thickBot="1" x14ac:dyDescent="0.3">
      <c r="B15" s="639" t="s">
        <v>103</v>
      </c>
      <c r="C15" s="58" t="s">
        <v>104</v>
      </c>
      <c r="D15" s="168"/>
      <c r="E15" s="328">
        <v>2021</v>
      </c>
      <c r="F15" s="328">
        <v>2022</v>
      </c>
      <c r="G15" s="328">
        <v>2023</v>
      </c>
      <c r="H15" s="328">
        <v>2024</v>
      </c>
      <c r="I15" s="389"/>
    </row>
    <row r="16" spans="2:14" ht="15.95" customHeight="1" thickBot="1" x14ac:dyDescent="0.3">
      <c r="B16" s="640"/>
      <c r="C16" s="551" t="s">
        <v>105</v>
      </c>
      <c r="D16" s="552"/>
      <c r="E16" s="552"/>
      <c r="F16" s="552"/>
      <c r="G16" s="552"/>
      <c r="H16" s="552"/>
      <c r="I16" s="584"/>
      <c r="J16" s="318"/>
    </row>
    <row r="17" spans="2:11" ht="15.95" customHeight="1" thickBot="1" x14ac:dyDescent="0.3">
      <c r="B17" s="640"/>
      <c r="C17" s="372" t="s">
        <v>305</v>
      </c>
      <c r="D17" s="373"/>
      <c r="E17" s="377">
        <f>'Equilibre prévisionnel'!E11*E11/E12</f>
        <v>2102.764920511981</v>
      </c>
      <c r="F17" s="597">
        <f>'Equilibre prévisionnel'!F11*F11/F12</f>
        <v>2228.0458700684844</v>
      </c>
      <c r="G17" s="377">
        <f>'Equilibre prévisionnel'!G11*G11/G12</f>
        <v>2243.2787936013428</v>
      </c>
      <c r="H17" s="377">
        <f>'Equilibre prévisionnel'!H11*H11/H12</f>
        <v>2280.0060703850404</v>
      </c>
      <c r="I17" s="319"/>
      <c r="J17" s="319"/>
      <c r="K17" s="46"/>
    </row>
    <row r="18" spans="2:11" ht="15.95" customHeight="1" thickBot="1" x14ac:dyDescent="0.3">
      <c r="B18" s="640"/>
      <c r="C18" s="372" t="s">
        <v>290</v>
      </c>
      <c r="D18" s="375"/>
      <c r="E18" s="374">
        <f>'Equilibre prévisionnel'!E13</f>
        <v>188.74786007392822</v>
      </c>
      <c r="F18" s="374">
        <f>'Equilibre prévisionnel'!F13</f>
        <v>207.03421743397431</v>
      </c>
      <c r="G18" s="374">
        <f>'Equilibre prévisionnel'!G13</f>
        <v>223.04307416972861</v>
      </c>
      <c r="H18" s="374">
        <f>'Equilibre prévisionnel'!H13</f>
        <v>235.11115152362325</v>
      </c>
      <c r="I18" s="242"/>
      <c r="J18" s="38"/>
    </row>
    <row r="19" spans="2:11" ht="15.95" customHeight="1" thickBot="1" x14ac:dyDescent="0.3">
      <c r="B19" s="640"/>
      <c r="C19" s="376" t="s">
        <v>300</v>
      </c>
      <c r="D19" s="373"/>
      <c r="E19" s="374">
        <f>IF($E$2&gt;E$8,'Montants réalisés'!C9,'Equilibre prévisionnel'!E14)</f>
        <v>1479.7933324913499</v>
      </c>
      <c r="F19" s="374">
        <f>IF($E$2&gt;F$8,'Montants réalisés'!D9,'Equilibre prévisionnel'!F14)</f>
        <v>1531.3648399643901</v>
      </c>
      <c r="G19" s="374">
        <f>IF($E$2&gt;G$8,'Montants réalisés'!E9,'Equilibre prévisionnel'!G14)</f>
        <v>1600.6440996071078</v>
      </c>
      <c r="H19" s="374">
        <f>IF($E$2&gt;H$8,'Montants réalisés'!F9,'Equilibre prévisionnel'!H14)</f>
        <v>1678.0451483872439</v>
      </c>
      <c r="I19" s="37"/>
      <c r="J19" s="38"/>
    </row>
    <row r="20" spans="2:11" ht="15.95" customHeight="1" thickBot="1" x14ac:dyDescent="0.3">
      <c r="B20" s="640"/>
      <c r="C20" s="376" t="s">
        <v>283</v>
      </c>
      <c r="D20" s="373"/>
      <c r="E20" s="377">
        <f>IF($E$2&gt;E$8,'Montants réalisés'!C10,'Equilibre prévisionnel'!E15)</f>
        <v>551.99352879728895</v>
      </c>
      <c r="F20" s="374">
        <f>IF($E$2&gt;F$8,'Montants réalisés'!D10,'Equilibre prévisionnel'!F15)</f>
        <v>454.50670387660995</v>
      </c>
      <c r="G20" s="374">
        <f>IF($E$2&gt;G$8,'Montants réalisés'!E10,'Equilibre prévisionnel'!G15)</f>
        <v>516.66540672142264</v>
      </c>
      <c r="H20" s="374">
        <f>IF($E$2&gt;H$8,'Montants réalisés'!F10,'Equilibre prévisionnel'!H15)</f>
        <v>530.11294853251388</v>
      </c>
      <c r="I20" s="37"/>
      <c r="J20" s="319"/>
    </row>
    <row r="21" spans="2:11" ht="15.95" customHeight="1" thickBot="1" x14ac:dyDescent="0.3">
      <c r="B21" s="640"/>
      <c r="C21" s="372" t="s">
        <v>268</v>
      </c>
      <c r="D21" s="373"/>
      <c r="E21" s="454">
        <f>IF($E$2&gt;E$8,'Montants réalisés'!C12+'Montants réalisés'!C13,'Equilibre prévisionnel'!E16)</f>
        <v>388.931556468</v>
      </c>
      <c r="F21" s="377">
        <f>IF($E$2&gt;F$8,'Montants réalisés'!D12+'Montants réalisés'!D13,'Equilibre prévisionnel'!F16)</f>
        <v>394.88811610100004</v>
      </c>
      <c r="G21" s="374">
        <f>IF($E$2&gt;G$8,'Montants réalisés'!E12+MAX(-15,MIN(15,20%*('Equilibre prévisionnel'!G16-'Montants réalisés'!E12))),'Equilibre prévisionnel'!G16)</f>
        <v>190.83523270474331</v>
      </c>
      <c r="H21" s="374">
        <f>IF($E$2&gt;H$8,'Montants réalisés'!F12+MAX(-15,MIN(15,20%*('Equilibre prévisionnel'!H16-'Montants réalisés'!F12))),'Equilibre prévisionnel'!H16)</f>
        <v>191.83523270474331</v>
      </c>
      <c r="I21" s="37"/>
      <c r="J21" s="38"/>
      <c r="K21" s="316"/>
    </row>
    <row r="22" spans="2:11" ht="15.95" customHeight="1" thickBot="1" x14ac:dyDescent="0.3">
      <c r="B22" s="640"/>
      <c r="C22" s="372" t="s">
        <v>272</v>
      </c>
      <c r="D22" s="373"/>
      <c r="E22" s="377">
        <f>IF($E$2&gt;E$8,'Equilibre prévisionnel'!E17+80%*('Montants réalisés'!C14-'Equilibre prévisionnel'!E17),'Equilibre prévisionnel'!E17)</f>
        <v>52.527500860939199</v>
      </c>
      <c r="F22" s="377">
        <f>IF($E$2&gt;F$8,'Montants réalisés'!D14,'Equilibre prévisionnel'!F17)</f>
        <v>185.94194534299999</v>
      </c>
      <c r="G22" s="374">
        <f>IF($E$2&gt;G$8,'Equilibre prévisionnel'!G17+80%*('Montants réalisés'!E14-'Equilibre prévisionnel'!G17),'Equilibre prévisionnel'!G17)</f>
        <v>37.095351377572499</v>
      </c>
      <c r="H22" s="374">
        <f>IF($E$2&gt;H$8,'Equilibre prévisionnel'!H17+80%*('Montants réalisés'!F14-'Equilibre prévisionnel'!H17),'Equilibre prévisionnel'!H17)</f>
        <v>41.7064031870216</v>
      </c>
      <c r="I22" s="37"/>
      <c r="J22" s="38"/>
      <c r="K22" s="316"/>
    </row>
    <row r="23" spans="2:11" ht="15.95" customHeight="1" thickBot="1" x14ac:dyDescent="0.3">
      <c r="B23" s="640"/>
      <c r="C23" s="372" t="s">
        <v>323</v>
      </c>
      <c r="D23" s="373"/>
      <c r="E23" s="377">
        <f>IF($E$2&gt;E$8,'Montants réalisés'!C15,'Equilibre prévisionnel'!E18)</f>
        <v>75.560988899999998</v>
      </c>
      <c r="F23" s="377">
        <f>IF($E$2&gt;F$8,'Montants réalisés'!D15,'Equilibre prévisionnel'!F18)</f>
        <v>62.639432999999997</v>
      </c>
      <c r="G23" s="377">
        <f>IF($E$2&gt;G$8,'Montants réalisés'!E15,'Equilibre prévisionnel'!G18)</f>
        <v>73.841666666666697</v>
      </c>
      <c r="H23" s="377">
        <f>IF($E$2&gt;H$8,'Montants réalisés'!F15,'Equilibre prévisionnel'!H18)</f>
        <v>73.841666666666697</v>
      </c>
      <c r="I23" s="37"/>
      <c r="J23" s="38"/>
    </row>
    <row r="24" spans="2:11" ht="15.95" customHeight="1" thickBot="1" x14ac:dyDescent="0.3">
      <c r="B24" s="640"/>
      <c r="C24" s="372" t="s">
        <v>304</v>
      </c>
      <c r="D24" s="373"/>
      <c r="E24" s="374">
        <f>'Equilibre prévisionnel'!E19</f>
        <v>29.779802933333333</v>
      </c>
      <c r="F24" s="583">
        <f>'Equilibre prévisionnel'!F19</f>
        <v>29.838267629333298</v>
      </c>
      <c r="G24" s="374">
        <f>'Equilibre prévisionnel'!G19</f>
        <v>29.909126840885332</v>
      </c>
      <c r="H24" s="374">
        <f>'Equilibre prévisionnel'!H19</f>
        <v>29.998763743498614</v>
      </c>
      <c r="I24" s="252"/>
      <c r="J24" s="38"/>
    </row>
    <row r="25" spans="2:11" ht="15.95" customHeight="1" thickBot="1" x14ac:dyDescent="0.3">
      <c r="B25" s="640"/>
      <c r="C25" s="372" t="s">
        <v>324</v>
      </c>
      <c r="D25" s="378"/>
      <c r="E25" s="377">
        <f>IF($E$2&gt;E$8,MAX(0, 'Montants réalisés'!C17-9),0)</f>
        <v>0</v>
      </c>
      <c r="F25" s="377">
        <f>IF($E$2&gt;F$8,MAX(0, 'Montants réalisés'!D17-9),0)</f>
        <v>0</v>
      </c>
      <c r="G25" s="377">
        <f>IF($E$2&gt;G$8,MAX(0, 'Montants réalisés'!E17-9),0)</f>
        <v>0</v>
      </c>
      <c r="H25" s="377">
        <f>IF($E$2&gt;H$8,MAX(0, 'Montants réalisés'!F17-9),0)</f>
        <v>0</v>
      </c>
      <c r="I25" s="252"/>
      <c r="J25" s="38"/>
      <c r="K25" s="46"/>
    </row>
    <row r="26" spans="2:11" ht="27.75" thickBot="1" x14ac:dyDescent="0.3">
      <c r="B26" s="640"/>
      <c r="C26" s="372" t="s">
        <v>271</v>
      </c>
      <c r="D26" s="373"/>
      <c r="E26" s="374">
        <f>IF($E$2&gt;E$8,'Montants réalisés'!C18,'Equilibre prévisionnel'!E20)</f>
        <v>3.1</v>
      </c>
      <c r="F26" s="374">
        <f>IF($E$2&gt;F$8,'Montants réalisés'!D18,'Equilibre prévisionnel'!F20)</f>
        <v>0</v>
      </c>
      <c r="G26" s="374">
        <f>IF($E$2&gt;G$8,'Montants réalisés'!E18,'Equilibre prévisionnel'!G20)</f>
        <v>0</v>
      </c>
      <c r="H26" s="374">
        <f>IF($E$2&gt;H$8,'Montants réalisés'!F18,'Equilibre prévisionnel'!H20)</f>
        <v>0</v>
      </c>
      <c r="I26" s="37"/>
      <c r="J26" s="38"/>
    </row>
    <row r="27" spans="2:11" ht="31.5" customHeight="1" thickBot="1" x14ac:dyDescent="0.3">
      <c r="B27" s="640"/>
      <c r="C27" s="372" t="s">
        <v>274</v>
      </c>
      <c r="D27" s="373"/>
      <c r="E27" s="374">
        <f>IF($E$2&gt;E$8,'Montants réalisés'!C19,'Equilibre prévisionnel'!E21)</f>
        <v>-14.37887025</v>
      </c>
      <c r="F27" s="374">
        <f>IF($E$2&gt;F$8,'Montants réalisés'!D19,'Equilibre prévisionnel'!F21)</f>
        <v>-17.123417910000001</v>
      </c>
      <c r="G27" s="374">
        <f>IF($E$2&gt;G$8,'Montants réalisés'!E19,'Equilibre prévisionnel'!G21)</f>
        <v>0</v>
      </c>
      <c r="H27" s="374">
        <f>IF($E$2&gt;H$8,'Montants réalisés'!F19,'Equilibre prévisionnel'!H21)</f>
        <v>0</v>
      </c>
      <c r="I27" s="37"/>
      <c r="J27" s="38"/>
    </row>
    <row r="28" spans="2:11" ht="27.75" thickBot="1" x14ac:dyDescent="0.3">
      <c r="B28" s="640"/>
      <c r="C28" s="372" t="s">
        <v>247</v>
      </c>
      <c r="D28" s="373"/>
      <c r="E28" s="374">
        <f>IF($E$2&gt;E$8,'Montants réalisés'!C20,'Equilibre prévisionnel'!E22)</f>
        <v>0</v>
      </c>
      <c r="F28" s="374">
        <f>IF($E$2&gt;F$8,'Montants réalisés'!D20,'Equilibre prévisionnel'!F22)</f>
        <v>0</v>
      </c>
      <c r="G28" s="374">
        <f>IF($E$2&gt;G$8,'Montants réalisés'!E20,'Equilibre prévisionnel'!G22)</f>
        <v>0</v>
      </c>
      <c r="H28" s="374">
        <f>IF($E$2&gt;H$8,'Montants réalisés'!F20,'Equilibre prévisionnel'!H22)</f>
        <v>0</v>
      </c>
      <c r="I28" s="37"/>
      <c r="J28" s="38"/>
      <c r="K28" s="46"/>
    </row>
    <row r="29" spans="2:11" ht="16.5" thickBot="1" x14ac:dyDescent="0.3">
      <c r="B29" s="640"/>
      <c r="C29" s="258" t="s">
        <v>269</v>
      </c>
      <c r="D29" s="373"/>
      <c r="E29" s="374">
        <f>IF($E$2&gt;E$8,'Montants réalisés'!C21,'Equilibre prévisionnel'!E23)</f>
        <v>0</v>
      </c>
      <c r="F29" s="374">
        <f>IF($E$2&gt;F$8,'Montants réalisés'!D21,'Equilibre prévisionnel'!F23)</f>
        <v>0</v>
      </c>
      <c r="G29" s="374">
        <f>IF($E$2&gt;G$8,'Montants réalisés'!E21,'Equilibre prévisionnel'!G23)</f>
        <v>0</v>
      </c>
      <c r="H29" s="374">
        <f>IF($E$2&gt;H$8,'Montants réalisés'!F21,'Equilibre prévisionnel'!H23)</f>
        <v>0</v>
      </c>
      <c r="I29" s="37"/>
      <c r="J29" s="38"/>
      <c r="K29" s="38"/>
    </row>
    <row r="30" spans="2:11" ht="27.75" thickBot="1" x14ac:dyDescent="0.3">
      <c r="B30" s="640"/>
      <c r="C30" s="372" t="s">
        <v>325</v>
      </c>
      <c r="D30" s="373"/>
      <c r="E30" s="374">
        <f>IF($E$2&gt;E$8,'Montants réalisés'!C23,'Equilibre prévisionnel'!E24)</f>
        <v>0</v>
      </c>
      <c r="F30" s="374">
        <f>IF($E$2&gt;F$8,'Montants réalisés'!D23,'Equilibre prévisionnel'!F24)</f>
        <v>0</v>
      </c>
      <c r="G30" s="374">
        <f>IF($E$2&gt;G$8,'Montants réalisés'!E23,'Equilibre prévisionnel'!G24)</f>
        <v>0</v>
      </c>
      <c r="H30" s="374">
        <f>IF($E$2&gt;H$8,'Montants réalisés'!F23,'Equilibre prévisionnel'!H24)</f>
        <v>0</v>
      </c>
      <c r="I30" s="37"/>
      <c r="J30" s="38"/>
    </row>
    <row r="31" spans="2:11" ht="15.95" customHeight="1" thickBot="1" x14ac:dyDescent="0.3">
      <c r="B31" s="640"/>
      <c r="C31" s="379" t="s">
        <v>248</v>
      </c>
      <c r="D31" s="373"/>
      <c r="E31" s="374"/>
      <c r="F31" s="374"/>
      <c r="G31" s="374"/>
      <c r="H31" s="374"/>
      <c r="I31" s="37"/>
      <c r="J31" s="38"/>
    </row>
    <row r="32" spans="2:11" ht="15.95" customHeight="1" thickBot="1" x14ac:dyDescent="0.3">
      <c r="B32" s="640"/>
      <c r="C32" s="379" t="s">
        <v>292</v>
      </c>
      <c r="D32" s="373"/>
      <c r="E32" s="434">
        <v>0</v>
      </c>
      <c r="F32" s="374"/>
      <c r="G32" s="374"/>
      <c r="H32" s="374"/>
      <c r="I32" s="433"/>
      <c r="J32" s="38"/>
    </row>
    <row r="33" spans="2:11" ht="15.95" customHeight="1" thickBot="1" x14ac:dyDescent="0.3">
      <c r="B33" s="640"/>
      <c r="C33" s="379" t="s">
        <v>270</v>
      </c>
      <c r="D33" s="373"/>
      <c r="E33" s="374">
        <f>'Equilibre prévisionnel'!E72</f>
        <v>82.000438802203462</v>
      </c>
      <c r="F33" s="374">
        <f>'Equilibre prévisionnel'!F72</f>
        <v>17.004914674816064</v>
      </c>
      <c r="G33" s="374">
        <f>'Equilibre prévisionnel'!G72</f>
        <v>-21.725911684010498</v>
      </c>
      <c r="H33" s="374">
        <f>'Equilibre prévisionnel'!H72</f>
        <v>-81.752552650656071</v>
      </c>
      <c r="I33" s="37"/>
      <c r="J33" s="38"/>
    </row>
    <row r="34" spans="2:11" ht="15.95" customHeight="1" thickBot="1" x14ac:dyDescent="0.3">
      <c r="B34" s="640"/>
      <c r="D34" s="29"/>
      <c r="E34" s="29"/>
      <c r="F34" s="29"/>
      <c r="G34" s="29"/>
      <c r="H34" s="29"/>
      <c r="I34" s="37"/>
      <c r="J34" s="38"/>
    </row>
    <row r="35" spans="2:11" ht="15.95" customHeight="1" thickBot="1" x14ac:dyDescent="0.3">
      <c r="B35" s="640"/>
      <c r="C35" s="343" t="s">
        <v>106</v>
      </c>
      <c r="D35" s="149"/>
      <c r="E35" s="149"/>
      <c r="F35" s="149"/>
      <c r="G35" s="149"/>
      <c r="H35" s="149"/>
      <c r="I35" s="38"/>
      <c r="J35" s="317"/>
    </row>
    <row r="36" spans="2:11" ht="15.95" customHeight="1" thickBot="1" x14ac:dyDescent="0.3">
      <c r="B36" s="640"/>
      <c r="C36" s="372" t="s">
        <v>273</v>
      </c>
      <c r="D36" s="373"/>
      <c r="E36" s="374">
        <f>IF($E$2&gt;E$8,'Montants réalisés'!C26,'Equilibre prévisionnel'!E26)</f>
        <v>-777.76097722999998</v>
      </c>
      <c r="F36" s="374">
        <f>IF($E$2&gt;F$8,'Montants réalisés'!D26,'Equilibre prévisionnel'!F26)</f>
        <v>-2590.9</v>
      </c>
      <c r="G36" s="374">
        <f>IF($E$2&gt;G$8,'Montants réalisés'!E26,'Equilibre prévisionnel'!G26)</f>
        <v>-343.4</v>
      </c>
      <c r="H36" s="374">
        <f>IF($E$2&gt;H$8,'Montants réalisés'!F26,'Equilibre prévisionnel'!H26)</f>
        <v>-341.50000000000006</v>
      </c>
      <c r="I36" s="35"/>
      <c r="J36" s="38"/>
    </row>
    <row r="37" spans="2:11" ht="15.95" customHeight="1" thickBot="1" x14ac:dyDescent="0.3">
      <c r="B37" s="640"/>
      <c r="C37" s="372" t="s">
        <v>249</v>
      </c>
      <c r="D37" s="373"/>
      <c r="E37" s="377">
        <f>IF($E$2&gt;E$8,'Montants réalisés'!C27,'Equilibre prévisionnel'!E27)</f>
        <v>-0.41662281200000001</v>
      </c>
      <c r="F37" s="377">
        <f>IF($E$2&gt;F$8,'Montants réalisés'!D27,'Equilibre prévisionnel'!F27)</f>
        <v>1.7247995899999999</v>
      </c>
      <c r="G37" s="377">
        <f>IF($E$2&gt;G$8,'Montants réalisés'!E27,'Equilibre prévisionnel'!G27)</f>
        <v>-0.20200000000000001</v>
      </c>
      <c r="H37" s="377">
        <f>IF($E$2&gt;H$8,'Montants réalisés'!F27,'Equilibre prévisionnel'!H27)</f>
        <v>-0.20200000000000001</v>
      </c>
      <c r="I37" s="35"/>
      <c r="J37" s="38"/>
    </row>
    <row r="38" spans="2:11" ht="15.95" customHeight="1" thickBot="1" x14ac:dyDescent="0.3">
      <c r="B38" s="640"/>
      <c r="C38" s="372" t="s">
        <v>250</v>
      </c>
      <c r="D38" s="373"/>
      <c r="E38" s="377">
        <f>IF($E$2&gt;E$8,'Montants réalisés'!C28,'Equilibre prévisionnel'!E28)</f>
        <v>-6.2645624599999996</v>
      </c>
      <c r="F38" s="377">
        <f>IF($E$2&gt;F$8,'Montants réalisés'!D28,'Equilibre prévisionnel'!F28)</f>
        <v>-15.406411050000001</v>
      </c>
      <c r="G38" s="377">
        <f>IF($E$2&gt;G$8,'Montants réalisés'!E28,'Equilibre prévisionnel'!G28)</f>
        <v>-14.266666666666666</v>
      </c>
      <c r="H38" s="377">
        <f>IF($E$2&gt;H$8,'Montants réalisés'!F28,'Equilibre prévisionnel'!H28)</f>
        <v>-14.266666666666666</v>
      </c>
      <c r="I38" s="37"/>
      <c r="J38" s="38"/>
    </row>
    <row r="39" spans="2:11" s="4" customFormat="1" ht="15.95" customHeight="1" thickBot="1" x14ac:dyDescent="0.3">
      <c r="B39" s="640"/>
      <c r="C39" s="585" t="s">
        <v>251</v>
      </c>
      <c r="D39" s="586"/>
      <c r="E39" s="587">
        <f>IF($E$2&gt;E$8,'Equilibre prévisionnel'!E29+80%*('Montants réalisés'!C29-'Equilibre prévisionnel'!E29),'Equilibre prévisionnel'!E29)</f>
        <v>-9.3125555626666667</v>
      </c>
      <c r="F39" s="587">
        <f>IF($E$2&gt;F$8,'Equilibre prévisionnel'!F29+80%*('Montants réalisés'!D29-'Equilibre prévisionnel'!F29),'Equilibre prévisionnel'!F29)</f>
        <v>-28.641875946666669</v>
      </c>
      <c r="G39" s="587">
        <f>IF($E$2&gt;G$8,'Equilibre prévisionnel'!G29+80%*('Montants réalisés'!E29-'Equilibre prévisionnel'!G29),'Equilibre prévisionnel'!G29)</f>
        <v>-11.233333333333334</v>
      </c>
      <c r="H39" s="587">
        <f>IF($E$2&gt;H$8,'Equilibre prévisionnel'!H29+80%*('Montants réalisés'!F29-'Equilibre prévisionnel'!H29),'Equilibre prévisionnel'!H29)</f>
        <v>-11.233333333333334</v>
      </c>
      <c r="I39" s="588"/>
      <c r="J39" s="589"/>
      <c r="K39" s="590"/>
    </row>
    <row r="40" spans="2:11" ht="15.95" customHeight="1" thickBot="1" x14ac:dyDescent="0.3">
      <c r="B40" s="640"/>
      <c r="C40" s="372" t="s">
        <v>252</v>
      </c>
      <c r="D40" s="373"/>
      <c r="E40" s="377">
        <f>IF($E$2&gt;E$8,'Montants réalisés'!C30+'Montants réalisés'!C22,'Equilibre prévisionnel'!E30)</f>
        <v>-0.24640000000000004</v>
      </c>
      <c r="F40" s="597">
        <f>IF($E$2&gt;F$8,'Montants réalisés'!D30+'Montants réalisés'!D22,'Equilibre prévisionnel'!F30)</f>
        <v>-0.41321184799999999</v>
      </c>
      <c r="G40" s="377">
        <f>IF($E$2&gt;G$8,'Montants réalisés'!E30+'Montants réalisés'!E22,'Equilibre prévisionnel'!G30)</f>
        <v>0</v>
      </c>
      <c r="H40" s="377">
        <f>IF($E$2&gt;H$8,'Montants réalisés'!F30+'Montants réalisés'!F22,'Equilibre prévisionnel'!H30)</f>
        <v>0</v>
      </c>
      <c r="I40" s="37"/>
      <c r="J40" s="38"/>
      <c r="K40" s="316"/>
    </row>
    <row r="41" spans="2:11" ht="16.5" thickBot="1" x14ac:dyDescent="0.3">
      <c r="B41" s="640"/>
      <c r="C41" s="379" t="s">
        <v>253</v>
      </c>
      <c r="D41" s="373"/>
      <c r="E41" s="377">
        <f>IF($E$2&gt;E$8,'Montants réalisés'!C31,'Equilibre prévisionnel'!E31)</f>
        <v>0</v>
      </c>
      <c r="F41" s="377">
        <f>IF($E$2&gt;F$8,'Montants réalisés'!D31,'Equilibre prévisionnel'!F31)</f>
        <v>0</v>
      </c>
      <c r="G41" s="377">
        <f>IF($E$2&gt;G$8,'Montants réalisés'!E31,'Equilibre prévisionnel'!G31)</f>
        <v>0</v>
      </c>
      <c r="H41" s="377">
        <f>IF($E$2&gt;H$8,'Montants réalisés'!F31,'Equilibre prévisionnel'!H31)</f>
        <v>0</v>
      </c>
      <c r="I41" s="37"/>
      <c r="J41" s="38"/>
    </row>
    <row r="42" spans="2:11" ht="15.95" customHeight="1" thickBot="1" x14ac:dyDescent="0.3">
      <c r="B42" s="640"/>
      <c r="C42" s="149"/>
      <c r="D42" s="149"/>
      <c r="E42" s="149"/>
      <c r="F42" s="149"/>
      <c r="G42" s="149"/>
      <c r="H42" s="149"/>
      <c r="I42" s="37"/>
      <c r="J42" s="39"/>
    </row>
    <row r="43" spans="2:11" ht="15.95" customHeight="1" thickBot="1" x14ac:dyDescent="0.3">
      <c r="B43" s="640"/>
      <c r="C43" s="148" t="s">
        <v>254</v>
      </c>
      <c r="D43" s="149"/>
      <c r="E43" s="149"/>
      <c r="F43" s="149"/>
      <c r="G43" s="149"/>
      <c r="H43" s="149"/>
      <c r="I43" s="37"/>
      <c r="J43" s="39"/>
    </row>
    <row r="44" spans="2:11" ht="15.95" customHeight="1" thickBot="1" x14ac:dyDescent="0.3">
      <c r="B44" s="640"/>
      <c r="C44" s="380" t="s">
        <v>266</v>
      </c>
      <c r="D44" s="373"/>
      <c r="E44" s="374">
        <f>IF($E$2&gt;E$8,'Montants réalisés'!C34,'Equilibre prévisionnel'!E33)</f>
        <v>1.526</v>
      </c>
      <c r="F44" s="374">
        <f>IF($E$2&gt;F$8,'Montants réalisés'!D34,'Equilibre prévisionnel'!F33)</f>
        <v>3.2719999999999998</v>
      </c>
      <c r="G44" s="374">
        <f>IF($E$2&gt;G$8,'Montants réalisés'!E34,'Equilibre prévisionnel'!G33)</f>
        <v>0</v>
      </c>
      <c r="H44" s="374">
        <f>IF($E$2&gt;H$8,'Montants réalisés'!F34,'Equilibre prévisionnel'!H33)</f>
        <v>0</v>
      </c>
      <c r="I44" s="37"/>
      <c r="J44" s="38"/>
      <c r="K44" s="316"/>
    </row>
    <row r="45" spans="2:11" ht="15.95" customHeight="1" thickBot="1" x14ac:dyDescent="0.3">
      <c r="B45" s="640"/>
      <c r="C45" s="380" t="s">
        <v>284</v>
      </c>
      <c r="D45" s="373"/>
      <c r="E45" s="374">
        <f>IF($E$2&gt;E$8,'Montants réalisés'!C35,'Equilibre prévisionnel'!E34)</f>
        <v>-9.9399999999999977</v>
      </c>
      <c r="F45" s="374">
        <f>IF($E$2&gt;F$8,'Montants réalisés'!D35,'Equilibre prévisionnel'!F34)</f>
        <v>-0.87</v>
      </c>
      <c r="G45" s="374">
        <f>IF($E$2&gt;G$8,'Montants réalisés'!E35,'Equilibre prévisionnel'!G34)</f>
        <v>0</v>
      </c>
      <c r="H45" s="374">
        <f>IF($E$2&gt;H$8,'Montants réalisés'!F35,'Equilibre prévisionnel'!H34)</f>
        <v>0</v>
      </c>
      <c r="I45" s="37"/>
      <c r="J45" s="38"/>
    </row>
    <row r="46" spans="2:11" ht="15.95" customHeight="1" thickBot="1" x14ac:dyDescent="0.3">
      <c r="B46" s="640"/>
      <c r="C46" s="380" t="s">
        <v>275</v>
      </c>
      <c r="D46" s="373"/>
      <c r="E46" s="374">
        <f>IF($E$2&gt;E$8,'Montants réalisés'!C36,'Equilibre prévisionnel'!E35)</f>
        <v>0</v>
      </c>
      <c r="F46" s="374">
        <f>IF($E$2&gt;F$8,'Montants réalisés'!D36,'Equilibre prévisionnel'!F35)</f>
        <v>0</v>
      </c>
      <c r="G46" s="374">
        <f>IF($E$2&gt;G$8,'Montants réalisés'!E36,'Equilibre prévisionnel'!G35)</f>
        <v>0</v>
      </c>
      <c r="H46" s="374">
        <f>IF($E$2&gt;H$8,'Montants réalisés'!F36,'Equilibre prévisionnel'!H35)</f>
        <v>0</v>
      </c>
      <c r="I46" s="37"/>
      <c r="J46" s="38"/>
    </row>
    <row r="47" spans="2:11" ht="15.95" customHeight="1" thickBot="1" x14ac:dyDescent="0.3">
      <c r="B47" s="640"/>
      <c r="C47" s="380" t="s">
        <v>64</v>
      </c>
      <c r="D47" s="373"/>
      <c r="E47" s="374">
        <f>IF($E$2&gt;E$8,'Montants réalisés'!C37,'Equilibre prévisionnel'!E36)</f>
        <v>2.0565609999999999</v>
      </c>
      <c r="F47" s="374">
        <f>IF($E$2&gt;F$8,'Montants réalisés'!D37,'Equilibre prévisionnel'!F36)</f>
        <v>7.2300000000000003E-2</v>
      </c>
      <c r="G47" s="374">
        <f>IF($E$2&gt;G$8,'Montants réalisés'!E37,'Equilibre prévisionnel'!G36)</f>
        <v>0</v>
      </c>
      <c r="H47" s="374">
        <f>IF($E$2&gt;H$8,'Montants réalisés'!F37,'Equilibre prévisionnel'!H36)</f>
        <v>0</v>
      </c>
      <c r="I47" s="37"/>
      <c r="J47" s="38"/>
      <c r="K47" s="316"/>
    </row>
    <row r="48" spans="2:11" ht="15.95" customHeight="1" thickBot="1" x14ac:dyDescent="0.3">
      <c r="B48" s="640"/>
      <c r="C48" s="380" t="s">
        <v>285</v>
      </c>
      <c r="D48" s="373"/>
      <c r="E48" s="374">
        <f>IF($E$2&gt;E$8,'Montants réalisés'!C38,'Equilibre prévisionnel'!E37)</f>
        <v>-5.8859999999999948</v>
      </c>
      <c r="F48" s="374">
        <f>IF($E$2&gt;F$8,'Montants réalisés'!D38,'Equilibre prévisionnel'!F37)</f>
        <v>0</v>
      </c>
      <c r="G48" s="374">
        <f>IF($E$2&gt;G$8,'Montants réalisés'!E38,'Equilibre prévisionnel'!G37)</f>
        <v>0</v>
      </c>
      <c r="H48" s="374">
        <f>IF($E$2&gt;H$8,'Montants réalisés'!F38,'Equilibre prévisionnel'!H37)</f>
        <v>0</v>
      </c>
      <c r="I48" s="40"/>
      <c r="J48" s="38"/>
    </row>
    <row r="49" spans="2:16" ht="15.95" customHeight="1" thickBot="1" x14ac:dyDescent="0.3">
      <c r="B49" s="640"/>
      <c r="C49" s="380" t="s">
        <v>286</v>
      </c>
      <c r="D49" s="373"/>
      <c r="E49" s="374">
        <f>IF($E$2&gt;E$8,'Montants réalisés'!C39,'Equilibre prévisionnel'!E38)</f>
        <v>0</v>
      </c>
      <c r="F49" s="374">
        <f>IF($E$2&gt;F$8,'Montants réalisés'!D39,'Equilibre prévisionnel'!F38)</f>
        <v>0</v>
      </c>
      <c r="G49" s="374">
        <f>IF($E$2&gt;G$8,'Montants réalisés'!E39,'Equilibre prévisionnel'!G38)</f>
        <v>0</v>
      </c>
      <c r="H49" s="374">
        <f>IF($E$2&gt;H$8,'Montants réalisés'!F39,'Equilibre prévisionnel'!H38)</f>
        <v>0</v>
      </c>
      <c r="I49" s="40"/>
      <c r="J49" s="38"/>
      <c r="K49" s="316"/>
      <c r="M49" s="345"/>
      <c r="N49" s="345"/>
      <c r="O49" s="345"/>
      <c r="P49" s="345"/>
    </row>
    <row r="50" spans="2:16" ht="15.95" customHeight="1" thickBot="1" x14ac:dyDescent="0.3">
      <c r="B50" s="640"/>
      <c r="C50" s="380" t="s">
        <v>287</v>
      </c>
      <c r="D50" s="373"/>
      <c r="E50" s="374">
        <f>IF($E$2&gt;E$8,'Montants réalisés'!C40,'Equilibre prévisionnel'!E39)</f>
        <v>0</v>
      </c>
      <c r="F50" s="374">
        <f>IF($E$2&gt;F$8,'Montants réalisés'!D40,'Equilibre prévisionnel'!F39)</f>
        <v>0</v>
      </c>
      <c r="G50" s="374">
        <f>IF($E$2&gt;G$8,'Montants réalisés'!E40,'Equilibre prévisionnel'!G39)</f>
        <v>0</v>
      </c>
      <c r="H50" s="374">
        <f>IF($E$2&gt;H$8,'Montants réalisés'!F40,'Equilibre prévisionnel'!H39)</f>
        <v>0</v>
      </c>
      <c r="I50" s="40"/>
      <c r="J50" s="38"/>
      <c r="K50" s="316"/>
      <c r="M50" s="345"/>
      <c r="N50" s="345"/>
      <c r="O50" s="345"/>
      <c r="P50" s="345"/>
    </row>
    <row r="51" spans="2:16" ht="15.95" customHeight="1" thickBot="1" x14ac:dyDescent="0.3">
      <c r="B51" s="640"/>
      <c r="C51" s="156"/>
      <c r="D51" s="157"/>
      <c r="E51" s="157"/>
      <c r="F51" s="157"/>
      <c r="G51" s="157"/>
      <c r="H51" s="157"/>
      <c r="I51" s="40"/>
      <c r="J51" s="32"/>
      <c r="M51" s="347"/>
      <c r="N51" s="347"/>
      <c r="O51" s="347"/>
      <c r="P51" s="347"/>
    </row>
    <row r="52" spans="2:16" ht="15.95" customHeight="1" thickBot="1" x14ac:dyDescent="0.3">
      <c r="B52" s="640"/>
      <c r="C52" s="156" t="s">
        <v>288</v>
      </c>
      <c r="D52" s="50"/>
      <c r="E52" s="59">
        <f>'Equilibre prévisionnel'!E41</f>
        <v>1.4993338593489904</v>
      </c>
      <c r="F52" s="59">
        <f>'Equilibre prévisionnel'!F41</f>
        <v>1.4993338593489904</v>
      </c>
      <c r="G52" s="59">
        <f>'Equilibre prévisionnel'!G41</f>
        <v>1.4993338593489904</v>
      </c>
      <c r="H52" s="59">
        <f>'Equilibre prévisionnel'!H41</f>
        <v>1.4993338593489904</v>
      </c>
      <c r="I52" s="40"/>
      <c r="J52" s="38"/>
    </row>
    <row r="53" spans="2:16" ht="15.95" customHeight="1" thickBot="1" x14ac:dyDescent="0.3">
      <c r="B53" s="640"/>
      <c r="C53" s="148"/>
      <c r="D53" s="149"/>
      <c r="E53" s="149"/>
      <c r="F53" s="149"/>
      <c r="G53" s="149"/>
      <c r="H53" s="149"/>
      <c r="J53" s="38"/>
    </row>
    <row r="54" spans="2:16" ht="15.95" customHeight="1" thickBot="1" x14ac:dyDescent="0.3">
      <c r="B54" s="641"/>
      <c r="C54" s="49" t="s">
        <v>330</v>
      </c>
      <c r="D54" s="50"/>
      <c r="E54" s="51">
        <f>SUM(E17:E33)+SUM(E36:E41)+SUM(E44:E50)+E52</f>
        <v>4136.0758363837058</v>
      </c>
      <c r="F54" s="51">
        <f>SUM(F17:F33)+SUM(F36:F41)+SUM(F44:F50)+F52</f>
        <v>2464.477824786291</v>
      </c>
      <c r="G54" s="344">
        <f>SUM(G17:G33)+SUM(G36:G41)+SUM(G44:G50)+G52</f>
        <v>4525.9841738648083</v>
      </c>
      <c r="H54" s="344">
        <f>SUM(H17:H33)+SUM(H36:H41)+SUM(H44:H50)+H52</f>
        <v>4613.2021663390433</v>
      </c>
      <c r="J54" s="38"/>
    </row>
    <row r="55" spans="2:16" ht="10.9" customHeight="1" thickBot="1" x14ac:dyDescent="0.3">
      <c r="B55" s="139"/>
      <c r="C55" s="41"/>
      <c r="D55" s="42"/>
      <c r="E55" s="43"/>
      <c r="F55" s="43"/>
      <c r="G55" s="43"/>
      <c r="H55" s="43" t="s">
        <v>107</v>
      </c>
      <c r="J55" s="32"/>
    </row>
    <row r="56" spans="2:16" ht="21.6" customHeight="1" thickBot="1" x14ac:dyDescent="0.3">
      <c r="B56" s="594" t="s">
        <v>68</v>
      </c>
      <c r="C56" s="54" t="s">
        <v>108</v>
      </c>
      <c r="D56" s="168"/>
      <c r="E56" s="328">
        <v>2021</v>
      </c>
      <c r="F56" s="328">
        <v>2022</v>
      </c>
      <c r="G56" s="328">
        <v>2023</v>
      </c>
      <c r="H56" s="328">
        <v>2024</v>
      </c>
      <c r="I56" s="328">
        <v>2025</v>
      </c>
      <c r="J56" s="32"/>
    </row>
    <row r="57" spans="2:16" ht="18.75" thickBot="1" x14ac:dyDescent="0.3">
      <c r="B57" s="595"/>
      <c r="C57" s="360" t="s">
        <v>109</v>
      </c>
      <c r="D57" s="158"/>
      <c r="E57" s="361">
        <v>-10.199999999999999</v>
      </c>
      <c r="F57" s="52">
        <f>E67+E68</f>
        <v>-215.25569846677146</v>
      </c>
      <c r="G57" s="573">
        <f>F67+F68</f>
        <v>51.511400917871256</v>
      </c>
      <c r="H57" s="52">
        <f>G67+G68</f>
        <v>142.4353877267786</v>
      </c>
      <c r="I57" s="52">
        <f>H67+H68</f>
        <v>101.40296930970852</v>
      </c>
      <c r="J57" s="358"/>
    </row>
    <row r="58" spans="2:16" ht="16.5" thickBot="1" x14ac:dyDescent="0.3">
      <c r="B58" s="595"/>
      <c r="C58" s="408" t="s">
        <v>343</v>
      </c>
      <c r="D58" s="158"/>
      <c r="E58" s="409">
        <f>E57+(E60-E62)</f>
        <v>9.6208732843213518</v>
      </c>
      <c r="F58" s="409">
        <f>F57+(F60-F62)</f>
        <v>-76.978516315486303</v>
      </c>
      <c r="G58" s="409">
        <f>G57+(G60-G62)</f>
        <v>140.0544618749052</v>
      </c>
      <c r="H58" s="409">
        <f t="shared" ref="H58" si="1">H57+(H60-H62)</f>
        <v>99.707934424493061</v>
      </c>
      <c r="I58" s="359"/>
      <c r="J58" s="358"/>
    </row>
    <row r="59" spans="2:16" ht="16.5" thickBot="1" x14ac:dyDescent="0.3">
      <c r="B59" s="595"/>
      <c r="C59" s="331" t="s">
        <v>330</v>
      </c>
      <c r="D59" s="53"/>
      <c r="E59" s="59">
        <f>E54</f>
        <v>4136.0758363837058</v>
      </c>
      <c r="F59" s="59">
        <f>F54</f>
        <v>2464.477824786291</v>
      </c>
      <c r="G59" s="59">
        <f t="shared" ref="G59:H59" si="2">G54</f>
        <v>4525.9841738648083</v>
      </c>
      <c r="H59" s="59">
        <f t="shared" si="2"/>
        <v>4613.2021663390433</v>
      </c>
      <c r="I59" s="242"/>
      <c r="J59" s="242"/>
    </row>
    <row r="60" spans="2:16" ht="16.5" thickBot="1" x14ac:dyDescent="0.3">
      <c r="B60" s="595"/>
      <c r="C60" s="385" t="s">
        <v>315</v>
      </c>
      <c r="D60" s="53"/>
      <c r="E60" s="150">
        <f>'Equilibre prévisionnel'!E48-'Equilibre prévisionnel'!E11+'Equilibre prévisionnel'!E11*E11/E12+'Equilibre prévisionnel'!E72</f>
        <v>4314.2529430574023</v>
      </c>
      <c r="F60" s="150">
        <f>'Equilibre prévisionnel'!F48-'Equilibre prévisionnel'!F11+'Equilibre prévisionnel'!F11*F11/F12+'Equilibre prévisionnel'!F72</f>
        <v>4455.0572845301294</v>
      </c>
      <c r="G60" s="150">
        <f>'Equilibre prévisionnel'!G48-'Equilibre prévisionnel'!G11+'Equilibre prévisionnel'!G11*G11/G12+'Equilibre prévisionnel'!G72</f>
        <v>4525.9841738648083</v>
      </c>
      <c r="H60" s="150">
        <f>'Equilibre prévisionnel'!H48-'Equilibre prévisionnel'!H11+'Equilibre prévisionnel'!H11*H11/H12+'Equilibre prévisionnel'!H72</f>
        <v>4613.2021663390442</v>
      </c>
      <c r="J60" s="242"/>
    </row>
    <row r="61" spans="2:16" ht="16.5" thickBot="1" x14ac:dyDescent="0.3">
      <c r="B61" s="595"/>
      <c r="C61" s="331" t="s">
        <v>316</v>
      </c>
      <c r="D61" s="53"/>
      <c r="E61" s="150">
        <f>IF($E$2&gt;E$8,'Montants réalisés'!C47,7/12*'Equilibre prévisionnel'!E54*D85+5/12*'Equilibre prévisionnel'!E54*E85+'Equilibre prévisionnel'!E60)</f>
        <v>4337.5333570000003</v>
      </c>
      <c r="F61" s="150">
        <f>IF($E$2&gt;F$8,'Montants réalisés'!D47,7/12*'Equilibre prévisionnel'!F54*E85+5/12*'Equilibre prévisionnel'!F54*F85+'Equilibre prévisionnel'!F60)</f>
        <v>2188.7259552400001</v>
      </c>
      <c r="G61" s="150">
        <f>IF($E$2&gt;G$8,'Montants réalisés'!E47,7/12*'Equilibre prévisionnel'!G54*F85+5/12*'Equilibre prévisionnel'!G54*G85+'Equilibre prévisionnel'!G60)</f>
        <v>4437.4411129077744</v>
      </c>
      <c r="H61" s="150">
        <f>IF($E$2&gt;H$8,'Montants réalisés'!F47,7/12*'Equilibre prévisionnel'!H54*G85+5/12*'Equilibre prévisionnel'!H54*H85+'Equilibre prévisionnel'!H60)</f>
        <v>4655.9296196413297</v>
      </c>
      <c r="I61" s="44"/>
      <c r="J61" s="242"/>
    </row>
    <row r="62" spans="2:16" ht="16.5" thickBot="1" x14ac:dyDescent="0.3">
      <c r="B62" s="595"/>
      <c r="C62" s="385" t="s">
        <v>317</v>
      </c>
      <c r="D62" s="53"/>
      <c r="E62" s="59">
        <f>7/12*'Equilibre prévisionnel'!E54*D85+5/12*'Equilibre prévisionnel'!E54*E85+'Equilibre prévisionnel'!E60</f>
        <v>4294.4320697730809</v>
      </c>
      <c r="F62" s="59">
        <f>7/12*'Equilibre prévisionnel'!F54*E85+5/12*'Equilibre prévisionnel'!F54*F85+'Equilibre prévisionnel'!F60</f>
        <v>4316.7801023788443</v>
      </c>
      <c r="G62" s="59">
        <f>7/12*'Equilibre prévisionnel'!G54*F85+5/12*'Equilibre prévisionnel'!G54*G85+'Equilibre prévisionnel'!G60</f>
        <v>4437.4411129077744</v>
      </c>
      <c r="H62" s="59">
        <f>7/12*'Equilibre prévisionnel'!H54*G85+5/12*'Equilibre prévisionnel'!H54*H85+'Equilibre prévisionnel'!H60</f>
        <v>4655.9296196413297</v>
      </c>
      <c r="I62" s="44"/>
      <c r="J62" s="242"/>
    </row>
    <row r="63" spans="2:16" ht="16.5" thickBot="1" x14ac:dyDescent="0.3">
      <c r="B63" s="595"/>
      <c r="C63" s="407" t="s">
        <v>319</v>
      </c>
      <c r="D63" s="53"/>
      <c r="E63" s="443">
        <f>(E59-E60)-(E61-E62)</f>
        <v>-221.27839390061581</v>
      </c>
      <c r="F63" s="51">
        <f>(F59-F60)-(F61-F62)</f>
        <v>137.47468739500573</v>
      </c>
      <c r="G63" s="51">
        <f t="shared" ref="G63:H63" si="3">(G59-G60)-(G61-G62)</f>
        <v>0</v>
      </c>
      <c r="H63" s="51">
        <f t="shared" si="3"/>
        <v>-9.0949470177292824E-13</v>
      </c>
      <c r="I63" s="411"/>
      <c r="J63" s="242"/>
    </row>
    <row r="64" spans="2:16" ht="15.75" customHeight="1" thickBot="1" x14ac:dyDescent="0.3">
      <c r="B64" s="595"/>
      <c r="C64" s="331" t="s">
        <v>314</v>
      </c>
      <c r="D64" s="50"/>
      <c r="E64" s="159"/>
      <c r="F64" s="159"/>
      <c r="G64" s="159"/>
      <c r="H64" s="150">
        <f>IF($E$2&gt;H$8,'Montants réalisés'!F42,0)</f>
        <v>0</v>
      </c>
      <c r="J64" s="32"/>
    </row>
    <row r="65" spans="2:12" ht="15.75" customHeight="1" thickBot="1" x14ac:dyDescent="0.3">
      <c r="B65" s="595"/>
      <c r="C65" s="331" t="s">
        <v>278</v>
      </c>
      <c r="D65" s="50"/>
      <c r="E65" s="159"/>
      <c r="F65" s="159"/>
      <c r="G65" s="159"/>
      <c r="H65" s="150">
        <f>IF($E$2&gt;H$8,'Montants réalisés'!F43,0)</f>
        <v>0</v>
      </c>
      <c r="I65" s="44"/>
      <c r="J65" s="32"/>
    </row>
    <row r="66" spans="2:12" ht="15.75" customHeight="1" thickBot="1" x14ac:dyDescent="0.3">
      <c r="B66" s="595"/>
      <c r="C66" s="331" t="s">
        <v>320</v>
      </c>
      <c r="D66" s="50"/>
      <c r="E66" s="159"/>
      <c r="F66" s="159"/>
      <c r="G66" s="159"/>
      <c r="H66" s="150">
        <f>IF($E$2&gt;H$8,'Montants réalisés'!F44,0)</f>
        <v>0</v>
      </c>
      <c r="I66" s="44"/>
      <c r="J66" s="32"/>
    </row>
    <row r="67" spans="2:12" ht="15.75" customHeight="1" thickBot="1" x14ac:dyDescent="0.3">
      <c r="B67" s="595"/>
      <c r="C67" s="360" t="s">
        <v>318</v>
      </c>
      <c r="D67" s="151"/>
      <c r="E67" s="52">
        <f>E58+E63</f>
        <v>-211.65752061629445</v>
      </c>
      <c r="F67" s="592">
        <f>F58+F63+SUM(F64:F66)</f>
        <v>60.496171079519428</v>
      </c>
      <c r="G67" s="52">
        <f>G58+G63+SUM(G64:G66)</f>
        <v>140.0544618749052</v>
      </c>
      <c r="H67" s="52">
        <f>H58+H63+SUM(H64:H66)</f>
        <v>99.707934424492151</v>
      </c>
      <c r="I67" s="44"/>
      <c r="J67" s="32"/>
    </row>
    <row r="68" spans="2:12" ht="15.75" customHeight="1" thickBot="1" x14ac:dyDescent="0.3">
      <c r="B68" s="595"/>
      <c r="C68" s="338" t="s">
        <v>110</v>
      </c>
      <c r="D68" s="160"/>
      <c r="E68" s="59">
        <f>E67*$D$4</f>
        <v>-3.5981778504770059</v>
      </c>
      <c r="F68" s="606">
        <f>F67*$D$4-10.01320507</f>
        <v>-8.9847701616481697</v>
      </c>
      <c r="G68" s="59">
        <f>G67*$D$4</f>
        <v>2.3809258518733887</v>
      </c>
      <c r="H68" s="59">
        <f>H67*$D$4</f>
        <v>1.6950348852163668</v>
      </c>
      <c r="I68" s="44"/>
      <c r="J68" s="32"/>
    </row>
    <row r="69" spans="2:12" ht="18" customHeight="1" x14ac:dyDescent="0.25">
      <c r="B69" s="555"/>
      <c r="F69" s="599"/>
      <c r="J69" s="32"/>
    </row>
    <row r="70" spans="2:12" ht="15.75" customHeight="1" x14ac:dyDescent="0.25">
      <c r="B70" s="555"/>
      <c r="J70" s="32"/>
    </row>
    <row r="71" spans="2:12" ht="10.9" customHeight="1" thickBot="1" x14ac:dyDescent="0.3">
      <c r="B71" s="554"/>
      <c r="C71" s="32"/>
      <c r="J71" s="32"/>
    </row>
    <row r="72" spans="2:12" ht="21.6" customHeight="1" thickBot="1" x14ac:dyDescent="0.3">
      <c r="B72" s="642" t="s">
        <v>111</v>
      </c>
      <c r="C72" s="509" t="s">
        <v>112</v>
      </c>
      <c r="D72" s="455"/>
      <c r="E72" s="510">
        <v>2021</v>
      </c>
      <c r="F72" s="510">
        <v>2022</v>
      </c>
      <c r="G72" s="510">
        <v>2023</v>
      </c>
      <c r="H72" s="510">
        <v>2024</v>
      </c>
      <c r="I72" s="152"/>
    </row>
    <row r="73" spans="2:12" ht="18" customHeight="1" thickBot="1" x14ac:dyDescent="0.3">
      <c r="B73" s="643"/>
      <c r="C73" s="331" t="s">
        <v>332</v>
      </c>
      <c r="D73" s="410"/>
      <c r="E73" s="511"/>
      <c r="F73" s="540">
        <f>7/12*'Equilibre prévisionnel'!F54*(E87-E85)</f>
        <v>0</v>
      </c>
      <c r="G73" s="540">
        <f>7/12*'Equilibre prévisionnel'!G54*(F87-F85)</f>
        <v>36.910547460051333</v>
      </c>
      <c r="H73" s="540">
        <f>7/12*'Equilibre prévisionnel'!H54*(G87-G85)</f>
        <v>-85.621605239331799</v>
      </c>
      <c r="I73" s="411"/>
      <c r="J73" s="562"/>
      <c r="K73" s="47"/>
      <c r="L73" s="47"/>
    </row>
    <row r="74" spans="2:12" ht="16.5" thickBot="1" x14ac:dyDescent="0.3">
      <c r="B74" s="643"/>
      <c r="C74" s="386" t="s">
        <v>340</v>
      </c>
      <c r="D74" s="410"/>
      <c r="E74" s="512"/>
      <c r="F74" s="541">
        <f>F57+F73+(7/12)*('Equilibre prévisionnel'!F11)*('CRCP &amp; évolutions'!E11/'CRCP &amp; évolutions'!E12-1)</f>
        <v>-203.50939969226414</v>
      </c>
      <c r="G74" s="541">
        <f>G57+G73+(7/12)*('Equilibre prévisionnel'!G11)*('CRCP &amp; évolutions'!F11/'CRCP &amp; évolutions'!F12-1)</f>
        <v>154.16192303198818</v>
      </c>
      <c r="H74" s="541">
        <f>H57+H73+(7/12)*('Equilibre prévisionnel'!H11)*('CRCP &amp; évolutions'!G11/'CRCP &amp; évolutions'!G12-1)</f>
        <v>123.63006127801117</v>
      </c>
      <c r="I74" s="412"/>
      <c r="J74" s="563"/>
      <c r="K74" s="47"/>
    </row>
    <row r="75" spans="2:12" ht="16.5" thickBot="1" x14ac:dyDescent="0.3">
      <c r="B75" s="643"/>
      <c r="C75" s="331" t="s">
        <v>333</v>
      </c>
      <c r="D75" s="388"/>
      <c r="E75" s="150"/>
      <c r="F75" s="387">
        <f>5/12*'Equilibre prévisionnel'!F54+7/12*'Equilibre prévisionnel'!G54/(1+'CRCP &amp; évolutions'!$D$4)</f>
        <v>4130.8100657256473</v>
      </c>
      <c r="G75" s="387">
        <f>5/12*'Equilibre prévisionnel'!G54+7/12*'Equilibre prévisionnel'!H54/(1+'CRCP &amp; évolutions'!$D$4)</f>
        <v>4135.7573548519658</v>
      </c>
      <c r="H75" s="387">
        <f>5/12*'Equilibre prévisionnel'!H54+7/12*'Equilibre prévisionnel'!I54/(1+'CRCP &amp; évolutions'!$D$4)</f>
        <v>4164.6102210776244</v>
      </c>
      <c r="J75" s="562"/>
      <c r="K75" s="47"/>
    </row>
    <row r="76" spans="2:12" ht="16.5" thickBot="1" x14ac:dyDescent="0.3">
      <c r="B76" s="643"/>
      <c r="C76" s="513" t="s">
        <v>345</v>
      </c>
      <c r="D76" s="388"/>
      <c r="E76" s="511"/>
      <c r="F76" s="150">
        <f>(5/12)*'Equilibre prévisionnel'!F11*('CRCP &amp; évolutions'!E11/'CRCP &amp; évolutions'!E12-1)+(7/12)*'Equilibre prévisionnel'!G11*('CRCP &amp; évolutions'!E11/'CRCP &amp; évolutions'!E12-1)</f>
        <v>20.216820437688849</v>
      </c>
      <c r="G76" s="150">
        <f>(5/12)*'Equilibre prévisionnel'!G11*('CRCP &amp; évolutions'!F11/'CRCP &amp; évolutions'!F12-1)+(7/12)*'Equilibre prévisionnel'!H11*('CRCP &amp; évolutions'!F11/'CRCP &amp; évolutions'!F12-1)</f>
        <v>113.77340354346835</v>
      </c>
      <c r="H76" s="150">
        <f>(5/12)*'Equilibre prévisionnel'!H11*('CRCP &amp; évolutions'!G11/'CRCP &amp; évolutions'!G12-1)</f>
        <v>47.725913421831692</v>
      </c>
      <c r="J76" s="562"/>
      <c r="K76" s="47"/>
    </row>
    <row r="77" spans="2:12" ht="16.5" thickBot="1" x14ac:dyDescent="0.3">
      <c r="B77" s="643"/>
      <c r="C77" s="331" t="s">
        <v>334</v>
      </c>
      <c r="D77" s="388"/>
      <c r="E77" s="150"/>
      <c r="F77" s="458">
        <f>(F87+(F74+F76)/F75)/E85-1-F86</f>
        <v>-4.8892667519247694E-2</v>
      </c>
      <c r="G77" s="458">
        <f>(G87+(G74+G76)/G75)/F85-1-G86</f>
        <v>4.9345140620919353E-2</v>
      </c>
      <c r="H77" s="457">
        <f>(H87+(H74+H76)/H75)/G85-1-H86</f>
        <v>1.9936817194977856E-2</v>
      </c>
      <c r="I77" s="391"/>
      <c r="J77" s="562"/>
      <c r="K77" s="47"/>
    </row>
    <row r="78" spans="2:12" ht="16.5" thickBot="1" x14ac:dyDescent="0.3">
      <c r="B78" s="643"/>
      <c r="C78" s="514"/>
      <c r="D78" s="456"/>
      <c r="E78" s="515"/>
      <c r="F78" s="516"/>
      <c r="G78" s="602"/>
      <c r="H78" s="516"/>
      <c r="J78" s="32"/>
      <c r="K78" s="47"/>
    </row>
    <row r="79" spans="2:12" ht="18.75" thickBot="1" x14ac:dyDescent="0.3">
      <c r="B79" s="643"/>
      <c r="C79" s="517" t="s">
        <v>336</v>
      </c>
      <c r="D79" s="388"/>
      <c r="E79" s="150"/>
      <c r="F79" s="518">
        <f>MAX(-2%,MIN(2%,F77))</f>
        <v>-0.02</v>
      </c>
      <c r="G79" s="518">
        <f>MAX(-2%,MIN(2%,G77))</f>
        <v>0.02</v>
      </c>
      <c r="H79" s="519">
        <f>MAX(-2%,MIN(2%,H77))</f>
        <v>1.9936817194977856E-2</v>
      </c>
      <c r="J79" s="567"/>
      <c r="K79" s="47"/>
    </row>
    <row r="80" spans="2:12" ht="16.5" thickBot="1" x14ac:dyDescent="0.3">
      <c r="B80" s="643"/>
      <c r="C80" s="331" t="s">
        <v>335</v>
      </c>
      <c r="D80" s="388"/>
      <c r="E80" s="150"/>
      <c r="F80" s="520">
        <f>F77-F81</f>
        <v>4.9971925906331927E-3</v>
      </c>
      <c r="G80" s="520">
        <f>G77-G81</f>
        <v>1.5902173215570206E-2</v>
      </c>
      <c r="H80" s="520">
        <f>H77-H81</f>
        <v>1.9936817194977856E-2</v>
      </c>
      <c r="J80" s="568"/>
      <c r="K80" s="47"/>
    </row>
    <row r="81" spans="2:12" ht="18.75" thickBot="1" x14ac:dyDescent="0.3">
      <c r="B81" s="643"/>
      <c r="C81" s="331" t="s">
        <v>337</v>
      </c>
      <c r="D81" s="388"/>
      <c r="E81" s="150"/>
      <c r="F81" s="458">
        <f>(E63*(1+$D$4))/(F75*E85)</f>
        <v>-5.3889860109880887E-2</v>
      </c>
      <c r="G81" s="458">
        <f>(F63*(1+$D$4))/(G75*F85)</f>
        <v>3.3442967405349147E-2</v>
      </c>
      <c r="H81" s="458">
        <f t="shared" ref="H81" si="4">(G63*(1+$D$4))/(H75*G85)</f>
        <v>0</v>
      </c>
      <c r="I81" s="391"/>
      <c r="J81" s="601"/>
      <c r="K81" s="47"/>
    </row>
    <row r="82" spans="2:12" ht="18.75" thickBot="1" x14ac:dyDescent="0.3">
      <c r="B82" s="643"/>
      <c r="C82" s="521" t="s">
        <v>338</v>
      </c>
      <c r="D82" s="388"/>
      <c r="E82" s="150"/>
      <c r="F82" s="539">
        <f>(F77-F79)*F75*E85</f>
        <v>-120.65367293581517</v>
      </c>
      <c r="G82" s="539">
        <f>(G77-G79)*G75*F85</f>
        <v>122.68037169857523</v>
      </c>
      <c r="H82" s="539">
        <f>(H77-H79)*H75*G85</f>
        <v>0</v>
      </c>
      <c r="I82" s="391"/>
      <c r="J82" s="32"/>
      <c r="K82" s="47"/>
    </row>
    <row r="83" spans="2:12" ht="21" customHeight="1" thickBot="1" x14ac:dyDescent="0.3">
      <c r="B83" s="643"/>
      <c r="C83" s="522" t="s">
        <v>48</v>
      </c>
      <c r="D83" s="553">
        <f>D5</f>
        <v>4.9220761724226899E-3</v>
      </c>
      <c r="E83" s="523"/>
      <c r="F83" s="524"/>
      <c r="G83" s="525"/>
      <c r="H83" s="526"/>
      <c r="J83" s="32"/>
      <c r="K83" s="47"/>
    </row>
    <row r="84" spans="2:12" ht="18" customHeight="1" thickBot="1" x14ac:dyDescent="0.3">
      <c r="B84" s="643"/>
      <c r="C84" s="517" t="s">
        <v>339</v>
      </c>
      <c r="D84" s="527"/>
      <c r="E84" s="361"/>
      <c r="F84" s="528">
        <f>F9+$D$83+F79</f>
        <v>-7.792382757730934E-5</v>
      </c>
      <c r="G84" s="528">
        <f>G9+$D$83+G79</f>
        <v>6.6922076172422698E-2</v>
      </c>
      <c r="H84" s="528">
        <f>H9+$D$83+H79</f>
        <v>2.4858893367400547E-2</v>
      </c>
      <c r="J84" s="564"/>
      <c r="K84" s="47"/>
      <c r="L84" s="45"/>
    </row>
    <row r="85" spans="2:12" ht="18" customHeight="1" thickBot="1" x14ac:dyDescent="0.3">
      <c r="B85" s="643"/>
      <c r="C85" s="529" t="s">
        <v>350</v>
      </c>
      <c r="D85" s="530">
        <v>1</v>
      </c>
      <c r="E85" s="531">
        <f>E87</f>
        <v>1.0109220761724227</v>
      </c>
      <c r="F85" s="532">
        <f>E85*(1+F84)</f>
        <v>1.010843301254865</v>
      </c>
      <c r="G85" s="532">
        <f>F85*(1+G84)</f>
        <v>1.0784910336598263</v>
      </c>
      <c r="H85" s="533">
        <f>G85*(1+H84)</f>
        <v>1.1053011272632736</v>
      </c>
      <c r="I85" s="392"/>
      <c r="J85" s="565"/>
      <c r="K85" s="47"/>
    </row>
    <row r="86" spans="2:12" ht="15.75" customHeight="1" thickBot="1" x14ac:dyDescent="0.3">
      <c r="B86" s="643"/>
      <c r="C86" s="534" t="s">
        <v>360</v>
      </c>
      <c r="D86" s="60"/>
      <c r="E86" s="535"/>
      <c r="F86" s="457">
        <f>F9+$D$83</f>
        <v>1.9922076172422691E-2</v>
      </c>
      <c r="G86" s="457">
        <f t="shared" ref="G86:H86" si="5">G9+$D$83</f>
        <v>4.6922076172422694E-2</v>
      </c>
      <c r="H86" s="457">
        <f t="shared" si="5"/>
        <v>4.9220761724226899E-3</v>
      </c>
      <c r="I86" s="46"/>
      <c r="J86" s="565"/>
      <c r="K86" s="47"/>
      <c r="L86" s="47"/>
    </row>
    <row r="87" spans="2:12" ht="16.5" thickBot="1" x14ac:dyDescent="0.3">
      <c r="B87" s="643"/>
      <c r="C87" s="536" t="s">
        <v>349</v>
      </c>
      <c r="D87" s="530">
        <v>1</v>
      </c>
      <c r="E87" s="537">
        <f>'Equilibre prévisionnel'!E65</f>
        <v>1.0109220761724227</v>
      </c>
      <c r="F87" s="538">
        <f>'Equilibre prévisionnel'!F65</f>
        <v>1.0260071323974513</v>
      </c>
      <c r="G87" s="538">
        <f>'Equilibre prévisionnel'!G65</f>
        <v>1.0433693032453299</v>
      </c>
      <c r="H87" s="538">
        <f>'Equilibre prévisionnel'!H65</f>
        <v>1.0641553859805508</v>
      </c>
      <c r="I87" s="390"/>
      <c r="J87" s="566"/>
      <c r="K87" s="47"/>
    </row>
    <row r="88" spans="2:12" ht="16.5" thickBot="1" x14ac:dyDescent="0.3">
      <c r="B88" s="643"/>
      <c r="C88" s="529" t="s">
        <v>359</v>
      </c>
      <c r="D88" s="530"/>
      <c r="E88" s="537">
        <v>1</v>
      </c>
      <c r="F88" s="538">
        <f>E88*(1+F84)</f>
        <v>0.99992207617242268</v>
      </c>
      <c r="G88" s="538">
        <f>F88*(1+G84)</f>
        <v>1.0668389375205207</v>
      </c>
      <c r="H88" s="538">
        <f>G88*(1+H84)</f>
        <v>1.0933593729085342</v>
      </c>
      <c r="J88" s="566"/>
      <c r="K88" s="47"/>
    </row>
    <row r="89" spans="2:12" ht="13.9" customHeight="1" x14ac:dyDescent="0.25">
      <c r="J89" s="32"/>
      <c r="K89" s="42"/>
      <c r="L89" s="48"/>
    </row>
    <row r="90" spans="2:12" ht="13.9" customHeight="1" x14ac:dyDescent="0.25">
      <c r="J90" s="32"/>
      <c r="K90" s="42"/>
      <c r="L90" s="48"/>
    </row>
    <row r="91" spans="2:12" ht="13.9" customHeight="1" x14ac:dyDescent="0.25">
      <c r="J91" s="32"/>
      <c r="K91" s="170"/>
    </row>
    <row r="94" spans="2:12" ht="13.9" customHeight="1" x14ac:dyDescent="0.25">
      <c r="J94" s="32"/>
      <c r="K94" s="171"/>
    </row>
  </sheetData>
  <mergeCells count="4">
    <mergeCell ref="C2:D2"/>
    <mergeCell ref="B8:B11"/>
    <mergeCell ref="B15:B54"/>
    <mergeCell ref="B72:B88"/>
  </mergeCells>
  <dataValidations count="1">
    <dataValidation type="list" allowBlank="1" showInputMessage="1" showErrorMessage="1" sqref="E2" xr:uid="{00000000-0002-0000-0400-000000000000}">
      <formula1>$E$8:$H$8</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T112"/>
  <sheetViews>
    <sheetView zoomScaleNormal="100" workbookViewId="0">
      <pane xSplit="7" ySplit="5" topLeftCell="H6" activePane="bottomRight" state="frozen"/>
      <selection pane="topRight" activeCell="F1" sqref="F1"/>
      <selection pane="bottomLeft" activeCell="A6" sqref="A6"/>
      <selection pane="bottomRight" activeCell="N8" sqref="N8"/>
    </sheetView>
  </sheetViews>
  <sheetFormatPr baseColWidth="10" defaultColWidth="11.28515625" defaultRowHeight="15.75" x14ac:dyDescent="0.3"/>
  <cols>
    <col min="1" max="1" width="3.28515625" style="70" customWidth="1"/>
    <col min="2" max="2" width="31.28515625" style="70" customWidth="1"/>
    <col min="3" max="5" width="16.28515625" style="70" customWidth="1"/>
    <col min="6" max="6" width="14.85546875" style="93" customWidth="1"/>
    <col min="7" max="7" width="20.140625" style="70" customWidth="1"/>
    <col min="8" max="8" width="12.28515625" style="70" customWidth="1"/>
    <col min="9" max="9" width="14.7109375" style="174" customWidth="1"/>
    <col min="10" max="10" width="16.7109375" style="174" customWidth="1"/>
    <col min="11" max="11" width="15.85546875" style="174" customWidth="1"/>
    <col min="12" max="12" width="16.7109375" style="174" customWidth="1"/>
    <col min="13" max="13" width="11.28515625" style="70"/>
    <col min="14" max="14" width="14.28515625" style="70" customWidth="1"/>
    <col min="15" max="15" width="15.28515625" style="70" customWidth="1"/>
    <col min="16" max="16" width="19.7109375" style="70" customWidth="1"/>
    <col min="17" max="17" width="11.28515625" style="70" hidden="1" customWidth="1"/>
    <col min="18" max="16384" width="11.28515625" style="70"/>
  </cols>
  <sheetData>
    <row r="1" spans="1:18" x14ac:dyDescent="0.3">
      <c r="B1" s="172"/>
      <c r="C1" s="172"/>
      <c r="D1" s="172"/>
      <c r="E1" s="172"/>
      <c r="F1" s="172"/>
      <c r="G1" s="172"/>
      <c r="H1" s="172"/>
    </row>
    <row r="4" spans="1:18" s="173" customFormat="1" ht="131.25" customHeight="1" x14ac:dyDescent="0.25">
      <c r="B4" s="86" t="s">
        <v>113</v>
      </c>
      <c r="F4" s="93"/>
      <c r="H4" s="236" t="s">
        <v>114</v>
      </c>
      <c r="I4" s="673" t="s">
        <v>115</v>
      </c>
      <c r="J4" s="674"/>
      <c r="K4" s="674"/>
      <c r="L4" s="674"/>
    </row>
    <row r="5" spans="1:18" s="177" customFormat="1" ht="39.75" customHeight="1" thickBot="1" x14ac:dyDescent="0.3">
      <c r="B5" s="213"/>
      <c r="C5" s="212"/>
      <c r="D5" s="212"/>
      <c r="E5" s="212"/>
      <c r="F5" s="472"/>
      <c r="H5" s="236" t="s">
        <v>116</v>
      </c>
      <c r="I5" s="473" t="s">
        <v>204</v>
      </c>
      <c r="J5" s="473" t="s">
        <v>205</v>
      </c>
      <c r="K5" s="473" t="s">
        <v>206</v>
      </c>
      <c r="L5" s="474" t="s">
        <v>207</v>
      </c>
    </row>
    <row r="6" spans="1:18" ht="63" customHeight="1" thickBot="1" x14ac:dyDescent="0.35">
      <c r="A6" s="214"/>
      <c r="B6" s="688" t="s">
        <v>213</v>
      </c>
      <c r="C6" s="689"/>
      <c r="D6" s="689"/>
      <c r="E6" s="690"/>
      <c r="F6" s="445" t="s">
        <v>117</v>
      </c>
      <c r="G6" s="446" t="s">
        <v>118</v>
      </c>
      <c r="H6" s="239">
        <v>1</v>
      </c>
      <c r="I6" s="222">
        <v>9404.0400000000009</v>
      </c>
      <c r="J6" s="223">
        <f>IF($H6=1,MROUND($I6*ROUND('CRCP &amp; évolutions'!F$88,4),0.12),ROUND($I6*ROUND('CRCP &amp; évolutions'!F$88,4),2))</f>
        <v>9403.08</v>
      </c>
      <c r="K6" s="223">
        <f>IF($H6=1,MROUND($I6*ROUND('CRCP &amp; évolutions'!G$88,4),0.12),ROUND($I6*ROUND('CRCP &amp; évolutions'!G$88,4),2))</f>
        <v>10032.24</v>
      </c>
      <c r="L6" s="475">
        <f>IF($H6=1,MROUND($I6*ROUND('CRCP &amp; évolutions'!H$88,4),0.12),ROUND($I6*ROUND('CRCP &amp; évolutions'!H$88,4),2))</f>
        <v>10282.32</v>
      </c>
      <c r="M6" s="436"/>
      <c r="N6" s="174"/>
    </row>
    <row r="7" spans="1:18" ht="47.25" customHeight="1" x14ac:dyDescent="0.3">
      <c r="A7" s="214"/>
      <c r="B7" s="646" t="s">
        <v>214</v>
      </c>
      <c r="C7" s="218" t="s">
        <v>119</v>
      </c>
      <c r="D7" s="691" t="s">
        <v>120</v>
      </c>
      <c r="E7" s="691"/>
      <c r="F7" s="445" t="s">
        <v>117</v>
      </c>
      <c r="G7" s="446" t="s">
        <v>121</v>
      </c>
      <c r="H7" s="239">
        <v>1</v>
      </c>
      <c r="I7" s="222">
        <v>3095.28</v>
      </c>
      <c r="J7" s="223">
        <f>IF($H7=1,MROUND($I7*ROUND('CRCP &amp; évolutions'!F$88,4),0.12),ROUND($I7*ROUND('CRCP &amp; évolutions'!F$88,4),2))</f>
        <v>3094.92</v>
      </c>
      <c r="K7" s="223">
        <f>IF($H7=1,MROUND($I7*ROUND('CRCP &amp; évolutions'!G$88,4),0.12),ROUND($I7*ROUND('CRCP &amp; évolutions'!G$88,4),2))</f>
        <v>3302.04</v>
      </c>
      <c r="L7" s="475">
        <f>IF($H7=1,MROUND($I7*ROUND('CRCP &amp; évolutions'!H$88,4),0.12),ROUND($I7*ROUND('CRCP &amp; évolutions'!H$88,4),2))</f>
        <v>3384.3599999999997</v>
      </c>
      <c r="M7" s="435"/>
      <c r="N7" s="174"/>
      <c r="P7" s="436"/>
    </row>
    <row r="8" spans="1:18" ht="47.25" customHeight="1" thickBot="1" x14ac:dyDescent="0.35">
      <c r="A8" s="214"/>
      <c r="B8" s="647"/>
      <c r="C8" s="220" t="s">
        <v>119</v>
      </c>
      <c r="D8" s="692" t="s">
        <v>122</v>
      </c>
      <c r="E8" s="692"/>
      <c r="F8" s="221" t="s">
        <v>117</v>
      </c>
      <c r="G8" s="85" t="s">
        <v>121</v>
      </c>
      <c r="H8" s="238">
        <v>1</v>
      </c>
      <c r="I8" s="175">
        <v>555.72</v>
      </c>
      <c r="J8" s="176">
        <f>IF($H8=1,MROUND($I8*ROUND('CRCP &amp; évolutions'!F$88,4),0.12),ROUND($I8*ROUND('CRCP &amp; évolutions'!F$88,4),2))</f>
        <v>555.72</v>
      </c>
      <c r="K8" s="176">
        <f>IF($H8=1,MROUND($I8*ROUND('CRCP &amp; évolutions'!G$88,4),0.12),ROUND($I8*ROUND('CRCP &amp; évolutions'!G$88,4),2))</f>
        <v>592.79999999999995</v>
      </c>
      <c r="L8" s="439">
        <f>IF($H8=1,MROUND($I8*ROUND('CRCP &amp; évolutions'!H$88,4),0.12),ROUND($I8*ROUND('CRCP &amp; évolutions'!H$88,4),2))</f>
        <v>607.67999999999995</v>
      </c>
      <c r="M8" s="435"/>
      <c r="N8" s="174"/>
      <c r="P8" s="436"/>
    </row>
    <row r="9" spans="1:18" ht="15.6" customHeight="1" thickBot="1" x14ac:dyDescent="0.35">
      <c r="A9" s="214"/>
      <c r="B9" s="651" t="s">
        <v>215</v>
      </c>
      <c r="C9" s="676"/>
      <c r="D9" s="676"/>
      <c r="E9" s="677"/>
      <c r="F9" s="460" t="s">
        <v>123</v>
      </c>
      <c r="G9" s="446" t="s">
        <v>124</v>
      </c>
      <c r="H9" s="239">
        <v>0</v>
      </c>
      <c r="I9" s="222">
        <v>23</v>
      </c>
      <c r="J9" s="223">
        <v>23</v>
      </c>
      <c r="K9" s="461">
        <v>23</v>
      </c>
      <c r="L9" s="462">
        <v>23</v>
      </c>
      <c r="M9" s="435"/>
    </row>
    <row r="10" spans="1:18" ht="52.5" customHeight="1" thickBot="1" x14ac:dyDescent="0.35">
      <c r="A10" s="214"/>
      <c r="B10" s="652"/>
      <c r="C10" s="678"/>
      <c r="D10" s="678"/>
      <c r="E10" s="679"/>
      <c r="F10" s="447" t="s">
        <v>125</v>
      </c>
      <c r="G10" s="85" t="s">
        <v>124</v>
      </c>
      <c r="H10" s="238">
        <v>0</v>
      </c>
      <c r="I10" s="175">
        <v>23</v>
      </c>
      <c r="J10" s="176">
        <v>23</v>
      </c>
      <c r="K10" s="459">
        <v>23</v>
      </c>
      <c r="L10" s="394">
        <v>23</v>
      </c>
      <c r="M10" s="435"/>
      <c r="N10" s="685" t="s">
        <v>208</v>
      </c>
      <c r="O10" s="686"/>
      <c r="P10" s="686"/>
      <c r="Q10" s="687"/>
    </row>
    <row r="11" spans="1:18" ht="51.75" thickBot="1" x14ac:dyDescent="0.35">
      <c r="A11" s="214"/>
      <c r="B11" s="663"/>
      <c r="C11" s="680"/>
      <c r="D11" s="680"/>
      <c r="E11" s="681"/>
      <c r="F11" s="447" t="s">
        <v>126</v>
      </c>
      <c r="G11" s="85" t="s">
        <v>124</v>
      </c>
      <c r="H11" s="238">
        <v>0</v>
      </c>
      <c r="I11" s="175">
        <v>0</v>
      </c>
      <c r="J11" s="459">
        <f>IF($H11=1,MROUND($I11*'CRCP &amp; évolutions'!F$88,0.12),ROUND($I11*'CRCP &amp; évolutions'!F$88,2))</f>
        <v>0</v>
      </c>
      <c r="K11" s="459">
        <f>IF($H11=1,MROUND($I11*'CRCP &amp; évolutions'!G$88,0.12),ROUND($I11*'CRCP &amp; évolutions'!G$88,2))</f>
        <v>0</v>
      </c>
      <c r="L11" s="394">
        <f>IF($H11=1,MROUND($I11*'CRCP &amp; évolutions'!H$88,0.12),ROUND($I11*'CRCP &amp; évolutions'!H$88,2))</f>
        <v>0</v>
      </c>
      <c r="M11" s="435"/>
      <c r="N11" s="306" t="s">
        <v>205</v>
      </c>
      <c r="O11" s="224" t="s">
        <v>206</v>
      </c>
      <c r="P11" s="225" t="s">
        <v>207</v>
      </c>
      <c r="R11" s="307"/>
    </row>
    <row r="12" spans="1:18" ht="47.25" customHeight="1" thickBot="1" x14ac:dyDescent="0.35">
      <c r="A12" s="214"/>
      <c r="B12" s="678" t="s">
        <v>216</v>
      </c>
      <c r="C12" s="678"/>
      <c r="D12" s="678"/>
      <c r="E12" s="678"/>
      <c r="F12" s="445" t="s">
        <v>123</v>
      </c>
      <c r="G12" s="446" t="s">
        <v>127</v>
      </c>
      <c r="H12" s="239">
        <v>0</v>
      </c>
      <c r="I12" s="222">
        <v>0.33</v>
      </c>
      <c r="J12" s="223">
        <f>IF($H12=1,MROUND($I12*ROUND('CRCP &amp; évolutions'!F$88,4),0.12),ROUND($I12*ROUND('CRCP &amp; évolutions'!F$88,4),2))</f>
        <v>0.33</v>
      </c>
      <c r="K12" s="223">
        <f>IF($H12=1,MROUND($I12*ROUND('CRCP &amp; évolutions'!G$88,4),0.12),ROUND($I12*ROUND('CRCP &amp; évolutions'!G$88,4),2))</f>
        <v>0.35</v>
      </c>
      <c r="L12" s="475">
        <f>IF($H12=1,MROUND($I12*ROUND('CRCP &amp; évolutions'!H$88,4),0.12),ROUND($I12*ROUND('CRCP &amp; évolutions'!H$88,4),2))</f>
        <v>0.36</v>
      </c>
      <c r="M12" s="435"/>
      <c r="N12" s="309">
        <v>0.33</v>
      </c>
      <c r="O12" s="311">
        <v>0.33</v>
      </c>
      <c r="P12" s="310">
        <v>0.33</v>
      </c>
    </row>
    <row r="13" spans="1:18" ht="15.75" customHeight="1" x14ac:dyDescent="0.3">
      <c r="A13" s="214"/>
      <c r="B13" s="651" t="s">
        <v>217</v>
      </c>
      <c r="C13" s="664" t="s">
        <v>128</v>
      </c>
      <c r="D13" s="665"/>
      <c r="E13" s="666"/>
      <c r="F13" s="446" t="s">
        <v>129</v>
      </c>
      <c r="G13" s="446" t="s">
        <v>130</v>
      </c>
      <c r="H13" s="239">
        <v>1</v>
      </c>
      <c r="I13" s="222">
        <v>1.43</v>
      </c>
      <c r="J13" s="223">
        <f>IF($H13=1,MROUND(N13*ROUND('CRCP &amp; évolutions'!F$88,4),0.12),ROUND(N13*ROUND('CRCP &amp; évolutions'!F$88,4),2))</f>
        <v>1.92</v>
      </c>
      <c r="K13" s="223">
        <f>IF($H13=1,MROUND(O13*ROUND('CRCP &amp; évolutions'!G$88,4),0.12),ROUND(O13*ROUND('CRCP &amp; évolutions'!G$88,4),2))</f>
        <v>2.6399999999999997</v>
      </c>
      <c r="L13" s="475">
        <f>IF($H13=1,MROUND(P13*ROUND('CRCP &amp; évolutions'!H$88,4),0.12),ROUND(P13*ROUND('CRCP &amp; évolutions'!H$88,4),2))</f>
        <v>3.36</v>
      </c>
      <c r="M13" s="435"/>
      <c r="N13" s="315">
        <v>1.9612000000000001</v>
      </c>
      <c r="O13" s="222">
        <v>2.4918999999999998</v>
      </c>
      <c r="P13" s="302">
        <v>3.0261999999999998</v>
      </c>
      <c r="Q13" s="304"/>
    </row>
    <row r="14" spans="1:18" ht="15.75" customHeight="1" x14ac:dyDescent="0.3">
      <c r="A14" s="214"/>
      <c r="B14" s="652"/>
      <c r="C14" s="667"/>
      <c r="D14" s="648"/>
      <c r="E14" s="650"/>
      <c r="F14" s="85" t="s">
        <v>131</v>
      </c>
      <c r="G14" s="85" t="s">
        <v>130</v>
      </c>
      <c r="H14" s="238">
        <v>1</v>
      </c>
      <c r="I14" s="175">
        <v>1.37</v>
      </c>
      <c r="J14" s="176">
        <f>IF($H14=1,MROUND(N14*ROUND('CRCP &amp; évolutions'!F$88,4),0.12),ROUND(N14*ROUND('CRCP &amp; évolutions'!F$88,4),2))</f>
        <v>1.92</v>
      </c>
      <c r="K14" s="176">
        <f>IF($H14=1,MROUND(O14*ROUND('CRCP &amp; évolutions'!G$88,4),0.12),ROUND(O14*ROUND('CRCP &amp; évolutions'!G$88,4),2))</f>
        <v>2.6399999999999997</v>
      </c>
      <c r="L14" s="439">
        <f>IF($H14=1,MROUND(P14*ROUND('CRCP &amp; évolutions'!H$88,4),0.12),ROUND(P14*ROUND('CRCP &amp; évolutions'!H$88,4),2))</f>
        <v>3.36</v>
      </c>
      <c r="M14" s="435"/>
      <c r="N14" s="313">
        <v>1.9209000000000001</v>
      </c>
      <c r="O14" s="175">
        <v>2.4719000000000002</v>
      </c>
      <c r="P14" s="303">
        <v>3.0261999999999998</v>
      </c>
      <c r="Q14" s="214"/>
    </row>
    <row r="15" spans="1:18" ht="15.75" customHeight="1" x14ac:dyDescent="0.3">
      <c r="A15" s="214"/>
      <c r="B15" s="652"/>
      <c r="C15" s="667"/>
      <c r="D15" s="648"/>
      <c r="E15" s="650"/>
      <c r="F15" s="85" t="s">
        <v>132</v>
      </c>
      <c r="G15" s="85" t="s">
        <v>130</v>
      </c>
      <c r="H15" s="238">
        <v>1</v>
      </c>
      <c r="I15" s="175">
        <v>1.35</v>
      </c>
      <c r="J15" s="176">
        <f>IF($H15=1,MROUND(N15*ROUND('CRCP &amp; évolutions'!F$88,4),0.12),ROUND(N15*ROUND('CRCP &amp; évolutions'!F$88,4),2))</f>
        <v>1.92</v>
      </c>
      <c r="K15" s="176">
        <f>IF($H15=1,MROUND(O15*ROUND('CRCP &amp; évolutions'!G$88,4),0.12),ROUND(O15*ROUND('CRCP &amp; évolutions'!G$88,4),2))</f>
        <v>2.6399999999999997</v>
      </c>
      <c r="L15" s="439">
        <f>IF($H15=1,MROUND(P15*ROUND('CRCP &amp; évolutions'!H$88,4),0.12),ROUND(P15*ROUND('CRCP &amp; évolutions'!H$88,4),2))</f>
        <v>3.36</v>
      </c>
      <c r="M15" s="435"/>
      <c r="N15" s="313">
        <v>1.9109</v>
      </c>
      <c r="O15" s="175">
        <v>2.4619</v>
      </c>
      <c r="P15" s="303">
        <v>3.0261999999999998</v>
      </c>
      <c r="Q15" s="214"/>
    </row>
    <row r="16" spans="1:18" ht="15.75" customHeight="1" x14ac:dyDescent="0.3">
      <c r="A16" s="214"/>
      <c r="B16" s="652"/>
      <c r="C16" s="667"/>
      <c r="D16" s="648"/>
      <c r="E16" s="650"/>
      <c r="F16" s="85" t="s">
        <v>133</v>
      </c>
      <c r="G16" s="85" t="s">
        <v>130</v>
      </c>
      <c r="H16" s="238">
        <v>1</v>
      </c>
      <c r="I16" s="175">
        <v>1.28</v>
      </c>
      <c r="J16" s="176">
        <f>IF($H16=1,MROUND(N16*ROUND('CRCP &amp; évolutions'!F$88,4),0.12),ROUND(N16*ROUND('CRCP &amp; évolutions'!F$88,4),2))</f>
        <v>1.92</v>
      </c>
      <c r="K16" s="176">
        <f>IF($H16=1,MROUND(O16*ROUND('CRCP &amp; évolutions'!G$88,4),0.12),ROUND(O16*ROUND('CRCP &amp; évolutions'!G$88,4),2))</f>
        <v>2.6399999999999997</v>
      </c>
      <c r="L16" s="439">
        <f>IF($H16=1,MROUND(P16*ROUND('CRCP &amp; évolutions'!H$88,4),0.12),ROUND(P16*ROUND('CRCP &amp; évolutions'!H$88,4),2))</f>
        <v>3.36</v>
      </c>
      <c r="M16" s="435"/>
      <c r="N16" s="313">
        <v>1.8706</v>
      </c>
      <c r="O16" s="175">
        <v>2.4419</v>
      </c>
      <c r="P16" s="303">
        <v>3.0261999999999998</v>
      </c>
      <c r="Q16" s="214"/>
    </row>
    <row r="17" spans="1:17" ht="15.75" customHeight="1" x14ac:dyDescent="0.3">
      <c r="A17" s="214"/>
      <c r="B17" s="652"/>
      <c r="C17" s="667"/>
      <c r="D17" s="648"/>
      <c r="E17" s="650"/>
      <c r="F17" s="85" t="s">
        <v>134</v>
      </c>
      <c r="G17" s="85" t="s">
        <v>130</v>
      </c>
      <c r="H17" s="238">
        <v>1</v>
      </c>
      <c r="I17" s="175">
        <v>1.05</v>
      </c>
      <c r="J17" s="176">
        <f>IF($H17=1,MROUND(N17*ROUND('CRCP &amp; évolutions'!F$88,4),0.12),ROUND(N17*ROUND('CRCP &amp; évolutions'!F$88,4),2))</f>
        <v>1.68</v>
      </c>
      <c r="K17" s="176">
        <f>IF($H17=1,MROUND(O17*ROUND('CRCP &amp; évolutions'!G$88,4),0.12),ROUND(O17*ROUND('CRCP &amp; évolutions'!G$88,4),2))</f>
        <v>2.52</v>
      </c>
      <c r="L17" s="439">
        <f>IF($H17=1,MROUND(P17*ROUND('CRCP &amp; évolutions'!H$88,4),0.12),ROUND(P17*ROUND('CRCP &amp; évolutions'!H$88,4),2))</f>
        <v>3.36</v>
      </c>
      <c r="M17" s="435"/>
      <c r="N17" s="313">
        <v>1.7097</v>
      </c>
      <c r="O17" s="175">
        <v>2.3717999999999999</v>
      </c>
      <c r="P17" s="303">
        <v>3.0261999999999998</v>
      </c>
      <c r="Q17" s="214"/>
    </row>
    <row r="18" spans="1:17" ht="15.75" customHeight="1" x14ac:dyDescent="0.3">
      <c r="A18" s="214"/>
      <c r="B18" s="652"/>
      <c r="C18" s="667" t="s">
        <v>135</v>
      </c>
      <c r="D18" s="648"/>
      <c r="E18" s="650"/>
      <c r="F18" s="85" t="s">
        <v>129</v>
      </c>
      <c r="G18" s="85" t="s">
        <v>127</v>
      </c>
      <c r="H18" s="238">
        <v>0</v>
      </c>
      <c r="I18" s="175">
        <v>1.29</v>
      </c>
      <c r="J18" s="176">
        <f>IF($H18=1,MROUND(N18*ROUND('CRCP &amp; évolutions'!F$88,4),0.12),ROUND(N18*ROUND('CRCP &amp; évolutions'!F$88,4),2))</f>
        <v>1.17</v>
      </c>
      <c r="K18" s="176">
        <f>IF($H18=1,MROUND(O18*ROUND('CRCP &amp; évolutions'!G$88,4),0.12),ROUND(O18*ROUND('CRCP &amp; évolutions'!G$88,4),2))</f>
        <v>1.1100000000000001</v>
      </c>
      <c r="L18" s="439">
        <f>IF($H18=1,MROUND(P18*ROUND('CRCP &amp; évolutions'!H$88,4),0.12),ROUND(P18*ROUND('CRCP &amp; évolutions'!H$88,4),2))</f>
        <v>0.99</v>
      </c>
      <c r="M18" s="435"/>
      <c r="N18" s="313">
        <v>1.1666000000000001</v>
      </c>
      <c r="O18" s="175">
        <v>1.0407999999999999</v>
      </c>
      <c r="P18" s="303">
        <v>0.90590000000000004</v>
      </c>
      <c r="Q18" s="214"/>
    </row>
    <row r="19" spans="1:17" ht="15.75" customHeight="1" x14ac:dyDescent="0.3">
      <c r="A19" s="214"/>
      <c r="B19" s="652"/>
      <c r="C19" s="667"/>
      <c r="D19" s="648"/>
      <c r="E19" s="650"/>
      <c r="F19" s="85" t="s">
        <v>131</v>
      </c>
      <c r="G19" s="85" t="s">
        <v>127</v>
      </c>
      <c r="H19" s="238">
        <v>0</v>
      </c>
      <c r="I19" s="175">
        <v>0.88</v>
      </c>
      <c r="J19" s="176">
        <f>IF($H19=1,MROUND(N19*ROUND('CRCP &amp; évolutions'!F$88,4),0.12),ROUND(N19*ROUND('CRCP &amp; évolutions'!F$88,4),2))</f>
        <v>0.85</v>
      </c>
      <c r="K19" s="176">
        <f>IF($H19=1,MROUND(O19*ROUND('CRCP &amp; évolutions'!G$88,4),0.12),ROUND(O19*ROUND('CRCP &amp; évolutions'!G$88,4),2))</f>
        <v>0.9</v>
      </c>
      <c r="L19" s="439">
        <f>IF($H19=1,MROUND(P19*ROUND('CRCP &amp; évolutions'!H$88,4),0.12),ROUND(P19*ROUND('CRCP &amp; évolutions'!H$88,4),2))</f>
        <v>0.89</v>
      </c>
      <c r="M19" s="435"/>
      <c r="N19" s="313">
        <v>0.85489999999999999</v>
      </c>
      <c r="O19" s="175">
        <v>0.8407</v>
      </c>
      <c r="P19" s="303">
        <v>0.81630000000000003</v>
      </c>
      <c r="Q19" s="214"/>
    </row>
    <row r="20" spans="1:17" ht="15.75" customHeight="1" x14ac:dyDescent="0.3">
      <c r="A20" s="214"/>
      <c r="B20" s="652"/>
      <c r="C20" s="667"/>
      <c r="D20" s="648"/>
      <c r="E20" s="650"/>
      <c r="F20" s="85" t="s">
        <v>132</v>
      </c>
      <c r="G20" s="85" t="s">
        <v>127</v>
      </c>
      <c r="H20" s="238">
        <v>0</v>
      </c>
      <c r="I20" s="175">
        <v>0.85</v>
      </c>
      <c r="J20" s="176">
        <f>IF($H20=1,MROUND(N20*ROUND('CRCP &amp; évolutions'!F$88,4),0.12),ROUND(N20*ROUND('CRCP &amp; évolutions'!F$88,4),2))</f>
        <v>0.8</v>
      </c>
      <c r="K20" s="176">
        <f>IF($H20=1,MROUND(O20*ROUND('CRCP &amp; évolutions'!G$88,4),0.12),ROUND(O20*ROUND('CRCP &amp; évolutions'!G$88,4),2))</f>
        <v>0.81</v>
      </c>
      <c r="L20" s="439">
        <f>IF($H20=1,MROUND(P20*ROUND('CRCP &amp; évolutions'!H$88,4),0.12),ROUND(P20*ROUND('CRCP &amp; évolutions'!H$88,4),2))</f>
        <v>0.78</v>
      </c>
      <c r="M20" s="435"/>
      <c r="N20" s="313">
        <v>0.80459999999999998</v>
      </c>
      <c r="O20" s="175">
        <v>0.76060000000000005</v>
      </c>
      <c r="P20" s="303">
        <v>0.7167</v>
      </c>
      <c r="Q20" s="214"/>
    </row>
    <row r="21" spans="1:17" ht="15.75" customHeight="1" x14ac:dyDescent="0.3">
      <c r="A21" s="214"/>
      <c r="B21" s="652"/>
      <c r="C21" s="667"/>
      <c r="D21" s="648"/>
      <c r="E21" s="650"/>
      <c r="F21" s="85" t="s">
        <v>133</v>
      </c>
      <c r="G21" s="85" t="s">
        <v>127</v>
      </c>
      <c r="H21" s="238">
        <v>0</v>
      </c>
      <c r="I21" s="175">
        <v>0.67</v>
      </c>
      <c r="J21" s="176">
        <f>IF($H21=1,MROUND(N21*ROUND('CRCP &amp; évolutions'!F$88,4),0.12),ROUND(N21*ROUND('CRCP &amp; évolutions'!F$88,4),2))</f>
        <v>0.63</v>
      </c>
      <c r="K21" s="176">
        <f>IF($H21=1,MROUND(O21*ROUND('CRCP &amp; évolutions'!G$88,4),0.12),ROUND(O21*ROUND('CRCP &amp; évolutions'!G$88,4),2))</f>
        <v>0.63</v>
      </c>
      <c r="L21" s="439">
        <f>IF($H21=1,MROUND(P21*ROUND('CRCP &amp; évolutions'!H$88,4),0.12),ROUND(P21*ROUND('CRCP &amp; évolutions'!H$88,4),2))</f>
        <v>0.61</v>
      </c>
      <c r="M21" s="435"/>
      <c r="N21" s="313">
        <v>0.63360000000000005</v>
      </c>
      <c r="O21" s="175">
        <v>0.59050000000000002</v>
      </c>
      <c r="P21" s="303">
        <v>0.5575</v>
      </c>
      <c r="Q21" s="214"/>
    </row>
    <row r="22" spans="1:17" ht="15.75" customHeight="1" thickBot="1" x14ac:dyDescent="0.35">
      <c r="A22" s="214"/>
      <c r="B22" s="663"/>
      <c r="C22" s="682"/>
      <c r="D22" s="683"/>
      <c r="E22" s="684"/>
      <c r="F22" s="468" t="s">
        <v>134</v>
      </c>
      <c r="G22" s="468" t="s">
        <v>127</v>
      </c>
      <c r="H22" s="469">
        <v>0</v>
      </c>
      <c r="I22" s="470">
        <v>0.54</v>
      </c>
      <c r="J22" s="471">
        <f>IF($H22=1,MROUND(N22*ROUND('CRCP &amp; évolutions'!F$88,4),0.12),ROUND(N22*ROUND('CRCP &amp; évolutions'!F$88,4),2))</f>
        <v>0.5</v>
      </c>
      <c r="K22" s="471">
        <f>IF($H22=1,MROUND(O22*ROUND('CRCP &amp; évolutions'!G$88,4),0.12),ROUND(O22*ROUND('CRCP &amp; évolutions'!G$88,4),2))</f>
        <v>0.51</v>
      </c>
      <c r="L22" s="476">
        <f>IF($H22=1,MROUND(P22*ROUND('CRCP &amp; évolutions'!H$88,4),0.12),ROUND(P22*ROUND('CRCP &amp; évolutions'!H$88,4),2))</f>
        <v>0.49</v>
      </c>
      <c r="M22" s="435"/>
      <c r="N22" s="314">
        <v>0.50290000000000001</v>
      </c>
      <c r="O22" s="216">
        <v>0.48039999999999999</v>
      </c>
      <c r="P22" s="312">
        <v>0.44800000000000001</v>
      </c>
      <c r="Q22" s="214"/>
    </row>
    <row r="23" spans="1:17" ht="15.75" customHeight="1" x14ac:dyDescent="0.3">
      <c r="A23" s="214"/>
      <c r="B23" s="652" t="s">
        <v>218</v>
      </c>
      <c r="C23" s="667" t="s">
        <v>128</v>
      </c>
      <c r="D23" s="648"/>
      <c r="E23" s="650"/>
      <c r="F23" s="85" t="s">
        <v>129</v>
      </c>
      <c r="G23" s="85" t="s">
        <v>130</v>
      </c>
      <c r="H23" s="238">
        <v>1</v>
      </c>
      <c r="I23" s="175">
        <v>4.42</v>
      </c>
      <c r="J23" s="437">
        <f>IF($H23=1,MROUND(N23*ROUND('CRCP &amp; évolutions'!F$88,4),0.12),ROUND(N23*ROUND('CRCP &amp; évolutions'!F$88,4),2))</f>
        <v>4.2</v>
      </c>
      <c r="K23" s="437">
        <f>IF($H23=1,MROUND(O23*ROUND('CRCP &amp; évolutions'!G$88,4),0.12),ROUND(O23*ROUND('CRCP &amp; évolutions'!G$88,4),2))</f>
        <v>4.2</v>
      </c>
      <c r="L23" s="439">
        <f>IF($H23=1,MROUND(P23*ROUND('CRCP &amp; évolutions'!H$88,4),0.12),ROUND(P23*ROUND('CRCP &amp; évolutions'!H$88,4),2))</f>
        <v>4.08</v>
      </c>
      <c r="M23" s="435"/>
      <c r="N23" s="315">
        <v>4.1737000000000002</v>
      </c>
      <c r="O23" s="175">
        <v>3.9630999999999998</v>
      </c>
      <c r="P23" s="303">
        <v>3.7429000000000001</v>
      </c>
      <c r="Q23" s="214"/>
    </row>
    <row r="24" spans="1:17" ht="15.75" customHeight="1" x14ac:dyDescent="0.3">
      <c r="A24" s="214"/>
      <c r="B24" s="652"/>
      <c r="C24" s="667"/>
      <c r="D24" s="648"/>
      <c r="E24" s="650"/>
      <c r="F24" s="85" t="s">
        <v>131</v>
      </c>
      <c r="G24" s="85" t="s">
        <v>130</v>
      </c>
      <c r="H24" s="238">
        <v>1</v>
      </c>
      <c r="I24" s="175">
        <v>4.24</v>
      </c>
      <c r="J24" s="437">
        <f>IF($H24=1,MROUND(N24*ROUND('CRCP &amp; évolutions'!F$88,4),0.12),ROUND(N24*ROUND('CRCP &amp; évolutions'!F$88,4),2))</f>
        <v>4.08</v>
      </c>
      <c r="K24" s="437">
        <f>IF($H24=1,MROUND(O24*ROUND('CRCP &amp; évolutions'!G$88,4),0.12),ROUND(O24*ROUND('CRCP &amp; évolutions'!G$88,4),2))</f>
        <v>4.08</v>
      </c>
      <c r="L24" s="439">
        <f>IF($H24=1,MROUND(P24*ROUND('CRCP &amp; évolutions'!H$88,4),0.12),ROUND(P24*ROUND('CRCP &amp; évolutions'!H$88,4),2))</f>
        <v>3.96</v>
      </c>
      <c r="M24" s="435"/>
      <c r="N24" s="313">
        <v>4.0430000000000001</v>
      </c>
      <c r="O24" s="175">
        <v>3.8530000000000002</v>
      </c>
      <c r="P24" s="303">
        <v>3.6732</v>
      </c>
      <c r="Q24" s="214"/>
    </row>
    <row r="25" spans="1:17" ht="15.75" customHeight="1" x14ac:dyDescent="0.3">
      <c r="A25" s="214"/>
      <c r="B25" s="652"/>
      <c r="C25" s="667"/>
      <c r="D25" s="648"/>
      <c r="E25" s="650"/>
      <c r="F25" s="85" t="s">
        <v>132</v>
      </c>
      <c r="G25" s="85" t="s">
        <v>130</v>
      </c>
      <c r="H25" s="238">
        <v>1</v>
      </c>
      <c r="I25" s="175">
        <v>4.16</v>
      </c>
      <c r="J25" s="437">
        <f>IF($H25=1,MROUND(N25*ROUND('CRCP &amp; évolutions'!F$88,4),0.12),ROUND(N25*ROUND('CRCP &amp; évolutions'!F$88,4),2))</f>
        <v>3.96</v>
      </c>
      <c r="K25" s="437">
        <f>IF($H25=1,MROUND(O25*ROUND('CRCP &amp; évolutions'!G$88,4),0.12),ROUND(O25*ROUND('CRCP &amp; évolutions'!G$88,4),2))</f>
        <v>3.96</v>
      </c>
      <c r="L25" s="439">
        <f>IF($H25=1,MROUND(P25*ROUND('CRCP &amp; évolutions'!H$88,4),0.12),ROUND(P25*ROUND('CRCP &amp; évolutions'!H$88,4),2))</f>
        <v>3.7199999999999998</v>
      </c>
      <c r="M25" s="435"/>
      <c r="N25" s="313">
        <v>3.9022000000000001</v>
      </c>
      <c r="O25" s="175">
        <v>3.6627999999999998</v>
      </c>
      <c r="P25" s="303">
        <v>3.4243000000000001</v>
      </c>
      <c r="Q25" s="214"/>
    </row>
    <row r="26" spans="1:17" ht="15.75" customHeight="1" x14ac:dyDescent="0.3">
      <c r="A26" s="214"/>
      <c r="B26" s="652"/>
      <c r="C26" s="667"/>
      <c r="D26" s="648"/>
      <c r="E26" s="650"/>
      <c r="F26" s="85" t="s">
        <v>133</v>
      </c>
      <c r="G26" s="85" t="s">
        <v>130</v>
      </c>
      <c r="H26" s="238">
        <v>1</v>
      </c>
      <c r="I26" s="175">
        <v>3.43</v>
      </c>
      <c r="J26" s="437">
        <f>IF($H26=1,MROUND(N26*ROUND('CRCP &amp; évolutions'!F$88,4),0.12),ROUND(N26*ROUND('CRCP &amp; évolutions'!F$88,4),2))</f>
        <v>3.36</v>
      </c>
      <c r="K26" s="437">
        <f>IF($H26=1,MROUND(O26*ROUND('CRCP &amp; évolutions'!G$88,4),0.12),ROUND(O26*ROUND('CRCP &amp; évolutions'!G$88,4),2))</f>
        <v>3.48</v>
      </c>
      <c r="L26" s="439">
        <f>IF($H26=1,MROUND(P26*ROUND('CRCP &amp; évolutions'!H$88,4),0.12),ROUND(P26*ROUND('CRCP &amp; évolutions'!H$88,4),2))</f>
        <v>3.48</v>
      </c>
      <c r="M26" s="435"/>
      <c r="N26" s="313">
        <v>3.339</v>
      </c>
      <c r="O26" s="175">
        <v>3.2725</v>
      </c>
      <c r="P26" s="303">
        <v>3.2153</v>
      </c>
      <c r="Q26" s="214"/>
    </row>
    <row r="27" spans="1:17" x14ac:dyDescent="0.3">
      <c r="A27" s="214"/>
      <c r="B27" s="652"/>
      <c r="C27" s="667"/>
      <c r="D27" s="648"/>
      <c r="E27" s="650"/>
      <c r="F27" s="85" t="s">
        <v>134</v>
      </c>
      <c r="G27" s="85" t="s">
        <v>130</v>
      </c>
      <c r="H27" s="238">
        <v>1</v>
      </c>
      <c r="I27" s="175">
        <v>2.42</v>
      </c>
      <c r="J27" s="437">
        <f>IF($H27=1,MROUND(N27*ROUND('CRCP &amp; évolutions'!F$88,4),0.12),ROUND(N27*ROUND('CRCP &amp; évolutions'!F$88,4),2))</f>
        <v>2.6399999999999997</v>
      </c>
      <c r="K27" s="437">
        <f>IF($H27=1,MROUND(O27*ROUND('CRCP &amp; évolutions'!G$88,4),0.12),ROUND(O27*ROUND('CRCP &amp; évolutions'!G$88,4),2))</f>
        <v>3</v>
      </c>
      <c r="L27" s="439">
        <f>IF($H27=1,MROUND(P27*ROUND('CRCP &amp; évolutions'!H$88,4),0.12),ROUND(P27*ROUND('CRCP &amp; évolutions'!H$88,4),2))</f>
        <v>3.36</v>
      </c>
      <c r="M27" s="435"/>
      <c r="N27" s="313">
        <v>2.6349999999999998</v>
      </c>
      <c r="O27" s="175">
        <v>2.8622000000000001</v>
      </c>
      <c r="P27" s="303">
        <v>3.0859000000000001</v>
      </c>
      <c r="Q27" s="214"/>
    </row>
    <row r="28" spans="1:17" x14ac:dyDescent="0.3">
      <c r="A28" s="214"/>
      <c r="B28" s="652"/>
      <c r="C28" s="667" t="s">
        <v>135</v>
      </c>
      <c r="D28" s="648"/>
      <c r="E28" s="650"/>
      <c r="F28" s="85" t="s">
        <v>129</v>
      </c>
      <c r="G28" s="85" t="s">
        <v>127</v>
      </c>
      <c r="H28" s="238">
        <v>0</v>
      </c>
      <c r="I28" s="175">
        <v>1.0900000000000001</v>
      </c>
      <c r="J28" s="437">
        <f>IF($H28=1,MROUND(N28*ROUND('CRCP &amp; évolutions'!F$88,4),0.12),ROUND(N28*ROUND('CRCP &amp; évolutions'!F$88,4),2))</f>
        <v>0.98</v>
      </c>
      <c r="K28" s="437">
        <f>IF($H28=1,MROUND(O28*ROUND('CRCP &amp; évolutions'!G$88,4),0.12),ROUND(O28*ROUND('CRCP &amp; évolutions'!G$88,4),2))</f>
        <v>0.93</v>
      </c>
      <c r="L28" s="439">
        <f>IF($H28=1,MROUND(P28*ROUND('CRCP &amp; évolutions'!H$88,4),0.12),ROUND(P28*ROUND('CRCP &amp; évolutions'!H$88,4),2))</f>
        <v>0.83</v>
      </c>
      <c r="M28" s="435"/>
      <c r="N28" s="313">
        <v>0.97550000000000003</v>
      </c>
      <c r="O28" s="175">
        <v>0.87070000000000003</v>
      </c>
      <c r="P28" s="303">
        <v>0.75649999999999995</v>
      </c>
      <c r="Q28" s="214"/>
    </row>
    <row r="29" spans="1:17" x14ac:dyDescent="0.3">
      <c r="A29" s="214"/>
      <c r="B29" s="652"/>
      <c r="C29" s="667"/>
      <c r="D29" s="648"/>
      <c r="E29" s="650"/>
      <c r="F29" s="85" t="s">
        <v>131</v>
      </c>
      <c r="G29" s="85" t="s">
        <v>127</v>
      </c>
      <c r="H29" s="238">
        <v>0</v>
      </c>
      <c r="I29" s="175">
        <v>0.85</v>
      </c>
      <c r="J29" s="437">
        <f>IF($H29=1,MROUND(N29*ROUND('CRCP &amp; évolutions'!F$88,4),0.12),ROUND(N29*ROUND('CRCP &amp; évolutions'!F$88,4),2))</f>
        <v>0.8</v>
      </c>
      <c r="K29" s="437">
        <f>IF($H29=1,MROUND(O29*ROUND('CRCP &amp; évolutions'!G$88,4),0.12),ROUND(O29*ROUND('CRCP &amp; évolutions'!G$88,4),2))</f>
        <v>0.81</v>
      </c>
      <c r="L29" s="439">
        <f>IF($H29=1,MROUND(P29*ROUND('CRCP &amp; évolutions'!H$88,4),0.12),ROUND(P29*ROUND('CRCP &amp; évolutions'!H$88,4),2))</f>
        <v>0.77</v>
      </c>
      <c r="M29" s="435"/>
      <c r="N29" s="313">
        <v>0.80459999999999998</v>
      </c>
      <c r="O29" s="175">
        <v>0.76060000000000005</v>
      </c>
      <c r="P29" s="303">
        <v>0.70679999999999998</v>
      </c>
      <c r="Q29" s="214"/>
    </row>
    <row r="30" spans="1:17" x14ac:dyDescent="0.3">
      <c r="A30" s="214"/>
      <c r="B30" s="652"/>
      <c r="C30" s="667"/>
      <c r="D30" s="648"/>
      <c r="E30" s="650"/>
      <c r="F30" s="85" t="s">
        <v>132</v>
      </c>
      <c r="G30" s="85" t="s">
        <v>127</v>
      </c>
      <c r="H30" s="238">
        <v>0</v>
      </c>
      <c r="I30" s="175">
        <v>0.65</v>
      </c>
      <c r="J30" s="437">
        <f>IF($H30=1,MROUND(N30*ROUND('CRCP &amp; évolutions'!F$88,4),0.12),ROUND(N30*ROUND('CRCP &amp; évolutions'!F$88,4),2))</f>
        <v>0.64</v>
      </c>
      <c r="K30" s="437">
        <f>IF($H30=1,MROUND(O30*ROUND('CRCP &amp; évolutions'!G$88,4),0.12),ROUND(O30*ROUND('CRCP &amp; évolutions'!G$88,4),2))</f>
        <v>0.68</v>
      </c>
      <c r="L30" s="439">
        <f>IF($H30=1,MROUND(P30*ROUND('CRCP &amp; évolutions'!H$88,4),0.12),ROUND(P30*ROUND('CRCP &amp; évolutions'!H$88,4),2))</f>
        <v>0.7</v>
      </c>
      <c r="M30" s="435"/>
      <c r="N30" s="313">
        <v>0.64370000000000005</v>
      </c>
      <c r="O30" s="175">
        <v>0.64049999999999996</v>
      </c>
      <c r="P30" s="303">
        <v>0.6371</v>
      </c>
      <c r="Q30" s="214"/>
    </row>
    <row r="31" spans="1:17" ht="15.75" customHeight="1" x14ac:dyDescent="0.3">
      <c r="A31" s="214"/>
      <c r="B31" s="652"/>
      <c r="C31" s="667"/>
      <c r="D31" s="648"/>
      <c r="E31" s="650"/>
      <c r="F31" s="85" t="s">
        <v>133</v>
      </c>
      <c r="G31" s="85" t="s">
        <v>127</v>
      </c>
      <c r="H31" s="238">
        <v>0</v>
      </c>
      <c r="I31" s="175">
        <v>0.51</v>
      </c>
      <c r="J31" s="437">
        <f>IF($H31=1,MROUND(N31*ROUND('CRCP &amp; évolutions'!F$88,4),0.12),ROUND(N31*ROUND('CRCP &amp; évolutions'!F$88,4),2))</f>
        <v>0.51</v>
      </c>
      <c r="K31" s="437">
        <f>IF($H31=1,MROUND(O31*ROUND('CRCP &amp; évolutions'!G$88,4),0.12),ROUND(O31*ROUND('CRCP &amp; évolutions'!G$88,4),2))</f>
        <v>0.54</v>
      </c>
      <c r="L31" s="439">
        <f>IF($H31=1,MROUND(P31*ROUND('CRCP &amp; évolutions'!H$88,4),0.12),ROUND(P31*ROUND('CRCP &amp; évolutions'!H$88,4),2))</f>
        <v>0.56999999999999995</v>
      </c>
      <c r="M31" s="435"/>
      <c r="N31" s="313">
        <v>0.51290000000000002</v>
      </c>
      <c r="O31" s="175">
        <v>0.51039999999999996</v>
      </c>
      <c r="P31" s="303">
        <v>0.51759999999999995</v>
      </c>
      <c r="Q31" s="214"/>
    </row>
    <row r="32" spans="1:17" ht="16.5" thickBot="1" x14ac:dyDescent="0.35">
      <c r="A32" s="214"/>
      <c r="B32" s="663"/>
      <c r="C32" s="668"/>
      <c r="D32" s="649"/>
      <c r="E32" s="669"/>
      <c r="F32" s="219" t="s">
        <v>134</v>
      </c>
      <c r="G32" s="219" t="s">
        <v>127</v>
      </c>
      <c r="H32" s="237">
        <v>0</v>
      </c>
      <c r="I32" s="216">
        <v>0.34</v>
      </c>
      <c r="J32" s="217">
        <f>IF($H32=1,MROUND(N32*ROUND('CRCP &amp; évolutions'!F$88,4),0.12),ROUND(N32*ROUND('CRCP &amp; évolutions'!F$88,4),2))</f>
        <v>0.37</v>
      </c>
      <c r="K32" s="217">
        <f>IF($H32=1,MROUND(O32*ROUND('CRCP &amp; évolutions'!G$88,4),0.12),ROUND(O32*ROUND('CRCP &amp; évolutions'!G$88,4),2))</f>
        <v>0.44</v>
      </c>
      <c r="L32" s="438">
        <f>IF($H32=1,MROUND(P32*ROUND('CRCP &amp; évolutions'!H$88,4),0.12),ROUND(P32*ROUND('CRCP &amp; évolutions'!H$88,4),2))</f>
        <v>0.48</v>
      </c>
      <c r="M32" s="435"/>
      <c r="N32" s="314">
        <v>0.37209999999999999</v>
      </c>
      <c r="O32" s="175">
        <v>0.4103</v>
      </c>
      <c r="P32" s="312">
        <v>0.438</v>
      </c>
      <c r="Q32" s="214"/>
    </row>
    <row r="33" spans="1:17" x14ac:dyDescent="0.3">
      <c r="A33" s="214"/>
      <c r="B33" s="652" t="s">
        <v>219</v>
      </c>
      <c r="C33" s="664" t="s">
        <v>128</v>
      </c>
      <c r="D33" s="665"/>
      <c r="E33" s="666"/>
      <c r="F33" s="85" t="s">
        <v>129</v>
      </c>
      <c r="G33" s="85" t="s">
        <v>130</v>
      </c>
      <c r="H33" s="238">
        <v>1</v>
      </c>
      <c r="I33" s="175">
        <v>11.92</v>
      </c>
      <c r="J33" s="437">
        <f>IF($H33=1,MROUND(N33*ROUND('CRCP &amp; évolutions'!F$88,4),0.12),ROUND(N33*ROUND('CRCP &amp; évolutions'!F$88,4),2))</f>
        <v>11.28</v>
      </c>
      <c r="K33" s="437">
        <f>IF($H33=1,MROUND(O33*ROUND('CRCP &amp; évolutions'!G$88,4),0.12),ROUND(O33*ROUND('CRCP &amp; évolutions'!G$88,4),2))</f>
        <v>11.28</v>
      </c>
      <c r="L33" s="439">
        <f>IF($H33=1,MROUND(P33*ROUND('CRCP &amp; évolutions'!H$88,4),0.12),ROUND(P33*ROUND('CRCP &amp; évolutions'!H$88,4),2))</f>
        <v>10.92</v>
      </c>
      <c r="M33" s="435"/>
      <c r="N33" s="315">
        <v>11.263999999999999</v>
      </c>
      <c r="O33" s="222">
        <v>10.6182</v>
      </c>
      <c r="P33" s="302">
        <v>9.9943000000000008</v>
      </c>
      <c r="Q33" s="214"/>
    </row>
    <row r="34" spans="1:17" x14ac:dyDescent="0.3">
      <c r="A34" s="214"/>
      <c r="B34" s="652"/>
      <c r="C34" s="667"/>
      <c r="D34" s="648"/>
      <c r="E34" s="650"/>
      <c r="F34" s="85" t="s">
        <v>131</v>
      </c>
      <c r="G34" s="85" t="s">
        <v>130</v>
      </c>
      <c r="H34" s="238">
        <v>1</v>
      </c>
      <c r="I34" s="175">
        <v>11.44</v>
      </c>
      <c r="J34" s="437">
        <f>IF($H34=1,MROUND(N34*ROUND('CRCP &amp; évolutions'!F$88,4),0.12),ROUND(N34*ROUND('CRCP &amp; évolutions'!F$88,4),2))</f>
        <v>10.799999999999999</v>
      </c>
      <c r="K34" s="437">
        <f>IF($H34=1,MROUND(O34*ROUND('CRCP &amp; évolutions'!G$88,4),0.12),ROUND(O34*ROUND('CRCP &amp; évolutions'!G$88,4),2))</f>
        <v>10.799999999999999</v>
      </c>
      <c r="L34" s="439">
        <f>IF($H34=1,MROUND(P34*ROUND('CRCP &amp; évolutions'!H$88,4),0.12),ROUND(P34*ROUND('CRCP &amp; évolutions'!H$88,4),2))</f>
        <v>10.44</v>
      </c>
      <c r="M34" s="435"/>
      <c r="N34" s="313">
        <v>10.7813</v>
      </c>
      <c r="O34" s="175">
        <v>10.1579</v>
      </c>
      <c r="P34" s="303">
        <v>9.5464000000000002</v>
      </c>
      <c r="Q34" s="214"/>
    </row>
    <row r="35" spans="1:17" x14ac:dyDescent="0.3">
      <c r="A35" s="214"/>
      <c r="B35" s="652"/>
      <c r="C35" s="667"/>
      <c r="D35" s="648"/>
      <c r="E35" s="650"/>
      <c r="F35" s="85" t="s">
        <v>132</v>
      </c>
      <c r="G35" s="85" t="s">
        <v>130</v>
      </c>
      <c r="H35" s="238">
        <v>1</v>
      </c>
      <c r="I35" s="175">
        <v>9.4</v>
      </c>
      <c r="J35" s="437">
        <f>IF($H35=1,MROUND(N35*ROUND('CRCP &amp; évolutions'!F$88,4),0.12),ROUND(N35*ROUND('CRCP &amp; évolutions'!F$88,4),2))</f>
        <v>8.76</v>
      </c>
      <c r="K35" s="437">
        <f>IF($H35=1,MROUND(O35*ROUND('CRCP &amp; évolutions'!G$88,4),0.12),ROUND(O35*ROUND('CRCP &amp; évolutions'!G$88,4),2))</f>
        <v>8.64</v>
      </c>
      <c r="L35" s="439">
        <f>IF($H35=1,MROUND(P35*ROUND('CRCP &amp; évolutions'!H$88,4),0.12),ROUND(P35*ROUND('CRCP &amp; évolutions'!H$88,4),2))</f>
        <v>8.16</v>
      </c>
      <c r="M35" s="435"/>
      <c r="N35" s="313">
        <v>8.7396999999999991</v>
      </c>
      <c r="O35" s="175">
        <v>8.1163000000000007</v>
      </c>
      <c r="P35" s="303">
        <v>7.4957000000000003</v>
      </c>
      <c r="Q35" s="214"/>
    </row>
    <row r="36" spans="1:17" ht="15.75" customHeight="1" x14ac:dyDescent="0.3">
      <c r="A36" s="214"/>
      <c r="B36" s="652"/>
      <c r="C36" s="667"/>
      <c r="D36" s="648"/>
      <c r="E36" s="650"/>
      <c r="F36" s="85" t="s">
        <v>133</v>
      </c>
      <c r="G36" s="85" t="s">
        <v>130</v>
      </c>
      <c r="H36" s="238">
        <v>1</v>
      </c>
      <c r="I36" s="175">
        <v>7.17</v>
      </c>
      <c r="J36" s="437">
        <f>IF($H36=1,MROUND(N36*ROUND('CRCP &amp; évolutions'!F$88,4),0.12),ROUND(N36*ROUND('CRCP &amp; évolutions'!F$88,4),2))</f>
        <v>6.4799999999999995</v>
      </c>
      <c r="K36" s="437">
        <f>IF($H36=1,MROUND(O36*ROUND('CRCP &amp; évolutions'!G$88,4),0.12),ROUND(O36*ROUND('CRCP &amp; évolutions'!G$88,4),2))</f>
        <v>6.24</v>
      </c>
      <c r="L36" s="439">
        <f>IF($H36=1,MROUND(P36*ROUND('CRCP &amp; évolutions'!H$88,4),0.12),ROUND(P36*ROUND('CRCP &amp; évolutions'!H$88,4),2))</f>
        <v>5.76</v>
      </c>
      <c r="M36" s="435"/>
      <c r="N36" s="313">
        <v>6.5270999999999999</v>
      </c>
      <c r="O36" s="175">
        <v>5.8945999999999996</v>
      </c>
      <c r="P36" s="303">
        <v>5.2858000000000001</v>
      </c>
      <c r="Q36" s="214"/>
    </row>
    <row r="37" spans="1:17" x14ac:dyDescent="0.3">
      <c r="A37" s="214"/>
      <c r="B37" s="652"/>
      <c r="C37" s="667"/>
      <c r="D37" s="648"/>
      <c r="E37" s="650"/>
      <c r="F37" s="85" t="s">
        <v>134</v>
      </c>
      <c r="G37" s="85" t="s">
        <v>130</v>
      </c>
      <c r="H37" s="238">
        <v>1</v>
      </c>
      <c r="I37" s="175">
        <v>3.87</v>
      </c>
      <c r="J37" s="437">
        <f>IF($H37=1,MROUND(N37*ROUND('CRCP &amp; évolutions'!F$88,4),0.12),ROUND(N37*ROUND('CRCP &amp; évolutions'!F$88,4),2))</f>
        <v>3.84</v>
      </c>
      <c r="K37" s="437">
        <f>IF($H37=1,MROUND(O37*ROUND('CRCP &amp; évolutions'!G$88,4),0.12),ROUND(O37*ROUND('CRCP &amp; évolutions'!G$88,4),2))</f>
        <v>4.2</v>
      </c>
      <c r="L37" s="439">
        <f>IF($H37=1,MROUND(P37*ROUND('CRCP &amp; évolutions'!H$88,4),0.12),ROUND(P37*ROUND('CRCP &amp; évolutions'!H$88,4),2))</f>
        <v>4.32</v>
      </c>
      <c r="M37" s="435"/>
      <c r="N37" s="313">
        <v>3.8719999999999999</v>
      </c>
      <c r="O37" s="175">
        <v>3.8929999999999998</v>
      </c>
      <c r="P37" s="303">
        <v>3.9022000000000001</v>
      </c>
      <c r="Q37" s="214"/>
    </row>
    <row r="38" spans="1:17" x14ac:dyDescent="0.3">
      <c r="A38" s="214"/>
      <c r="B38" s="652"/>
      <c r="C38" s="667" t="s">
        <v>135</v>
      </c>
      <c r="D38" s="648"/>
      <c r="E38" s="650"/>
      <c r="F38" s="85" t="s">
        <v>129</v>
      </c>
      <c r="G38" s="85" t="s">
        <v>127</v>
      </c>
      <c r="H38" s="238">
        <v>0</v>
      </c>
      <c r="I38" s="175">
        <v>0.78</v>
      </c>
      <c r="J38" s="442">
        <f>IF($H38=1,MROUND(N38*ROUND('CRCP &amp; évolutions'!F$88,4),0.12),ROUND(N38*ROUND('CRCP &amp; évolutions'!F$88,4),2))</f>
        <v>0.69</v>
      </c>
      <c r="K38" s="437">
        <f>IF($H38=1,MROUND(O38*ROUND('CRCP &amp; évolutions'!G$88,4),0.12),ROUND(O38*ROUND('CRCP &amp; évolutions'!G$88,4),2))</f>
        <v>0.65</v>
      </c>
      <c r="L38" s="439">
        <f>IF($H38=1,MROUND(P38*ROUND('CRCP &amp; évolutions'!H$88,4),0.12),ROUND(P38*ROUND('CRCP &amp; évolutions'!H$88,4),2))</f>
        <v>0.59</v>
      </c>
      <c r="M38" s="435"/>
      <c r="N38" s="313">
        <v>0.69389999999999996</v>
      </c>
      <c r="O38" s="175">
        <v>0.61050000000000004</v>
      </c>
      <c r="P38" s="303">
        <v>0.53749999999999998</v>
      </c>
      <c r="Q38" s="214"/>
    </row>
    <row r="39" spans="1:17" x14ac:dyDescent="0.3">
      <c r="A39" s="214"/>
      <c r="B39" s="652"/>
      <c r="C39" s="667"/>
      <c r="D39" s="648"/>
      <c r="E39" s="650"/>
      <c r="F39" s="85" t="s">
        <v>131</v>
      </c>
      <c r="G39" s="85" t="s">
        <v>127</v>
      </c>
      <c r="H39" s="238">
        <v>0</v>
      </c>
      <c r="I39" s="175">
        <v>0.61</v>
      </c>
      <c r="J39" s="437">
        <f>IF($H39=1,MROUND(N39*ROUND('CRCP &amp; évolutions'!F$88,4),0.12),ROUND(N39*ROUND('CRCP &amp; évolutions'!F$88,4),2))</f>
        <v>0.56999999999999995</v>
      </c>
      <c r="K39" s="437">
        <f>IF($H39=1,MROUND(O39*ROUND('CRCP &amp; évolutions'!G$88,4),0.12),ROUND(O39*ROUND('CRCP &amp; évolutions'!G$88,4),2))</f>
        <v>0.57999999999999996</v>
      </c>
      <c r="L39" s="439">
        <f>IF($H39=1,MROUND(P39*ROUND('CRCP &amp; évolutions'!H$88,4),0.12),ROUND(P39*ROUND('CRCP &amp; évolutions'!H$88,4),2))</f>
        <v>0.56000000000000005</v>
      </c>
      <c r="M39" s="435"/>
      <c r="N39" s="313">
        <v>0.57330000000000003</v>
      </c>
      <c r="O39" s="175">
        <v>0.54039999999999999</v>
      </c>
      <c r="P39" s="303">
        <v>0.50770000000000004</v>
      </c>
      <c r="Q39" s="214"/>
    </row>
    <row r="40" spans="1:17" x14ac:dyDescent="0.3">
      <c r="A40" s="214"/>
      <c r="B40" s="652"/>
      <c r="C40" s="667"/>
      <c r="D40" s="648"/>
      <c r="E40" s="650"/>
      <c r="F40" s="85" t="s">
        <v>132</v>
      </c>
      <c r="G40" s="85" t="s">
        <v>127</v>
      </c>
      <c r="H40" s="238">
        <v>0</v>
      </c>
      <c r="I40" s="175">
        <v>0.45</v>
      </c>
      <c r="J40" s="437">
        <f>IF($H40=1,MROUND(N40*ROUND('CRCP &amp; évolutions'!F$88,4),0.12),ROUND(N40*ROUND('CRCP &amp; évolutions'!F$88,4),2))</f>
        <v>0.45</v>
      </c>
      <c r="K40" s="437">
        <f>IF($H40=1,MROUND(O40*ROUND('CRCP &amp; évolutions'!G$88,4),0.12),ROUND(O40*ROUND('CRCP &amp; évolutions'!G$88,4),2))</f>
        <v>0.49</v>
      </c>
      <c r="L40" s="439">
        <f>IF($H40=1,MROUND(P40*ROUND('CRCP &amp; évolutions'!H$88,4),0.12),ROUND(P40*ROUND('CRCP &amp; évolutions'!H$88,4),2))</f>
        <v>0.51</v>
      </c>
      <c r="M40" s="435"/>
      <c r="N40" s="313">
        <v>0.4526</v>
      </c>
      <c r="O40" s="175">
        <v>0.46039999999999998</v>
      </c>
      <c r="P40" s="303">
        <v>0.46789999999999998</v>
      </c>
      <c r="Q40" s="214"/>
    </row>
    <row r="41" spans="1:17" ht="15.75" customHeight="1" x14ac:dyDescent="0.3">
      <c r="A41" s="214"/>
      <c r="B41" s="652"/>
      <c r="C41" s="667"/>
      <c r="D41" s="648"/>
      <c r="E41" s="650"/>
      <c r="F41" s="85" t="s">
        <v>133</v>
      </c>
      <c r="G41" s="85" t="s">
        <v>127</v>
      </c>
      <c r="H41" s="238">
        <v>0</v>
      </c>
      <c r="I41" s="175">
        <v>0.31</v>
      </c>
      <c r="J41" s="437">
        <f>IF($H41=1,MROUND(N41*ROUND('CRCP &amp; évolutions'!F$88,4),0.12),ROUND(N41*ROUND('CRCP &amp; évolutions'!F$88,4),2))</f>
        <v>0.35</v>
      </c>
      <c r="K41" s="437">
        <f>IF($H41=1,MROUND(O41*ROUND('CRCP &amp; évolutions'!G$88,4),0.12),ROUND(O41*ROUND('CRCP &amp; évolutions'!G$88,4),2))</f>
        <v>0.42</v>
      </c>
      <c r="L41" s="439">
        <f>IF($H41=1,MROUND(P41*ROUND('CRCP &amp; évolutions'!H$88,4),0.12),ROUND(P41*ROUND('CRCP &amp; évolutions'!H$88,4),2))</f>
        <v>0.47</v>
      </c>
      <c r="M41" s="435"/>
      <c r="N41" s="313">
        <v>0.35199999999999998</v>
      </c>
      <c r="O41" s="175">
        <v>0.39029999999999998</v>
      </c>
      <c r="P41" s="303">
        <v>0.42799999999999999</v>
      </c>
      <c r="Q41" s="214"/>
    </row>
    <row r="42" spans="1:17" ht="16.5" thickBot="1" x14ac:dyDescent="0.35">
      <c r="A42" s="214"/>
      <c r="B42" s="663"/>
      <c r="C42" s="668"/>
      <c r="D42" s="649"/>
      <c r="E42" s="669"/>
      <c r="F42" s="219" t="s">
        <v>134</v>
      </c>
      <c r="G42" s="219" t="s">
        <v>127</v>
      </c>
      <c r="H42" s="237">
        <v>0</v>
      </c>
      <c r="I42" s="216">
        <v>0.25</v>
      </c>
      <c r="J42" s="217">
        <f>IF($H42=1,MROUND(N42*ROUND('CRCP &amp; évolutions'!F$88,4),0.12),ROUND(N42*ROUND('CRCP &amp; évolutions'!F$88,4),2))</f>
        <v>0.28999999999999998</v>
      </c>
      <c r="K42" s="217">
        <f>IF($H42=1,MROUND(O42*ROUND('CRCP &amp; évolutions'!G$88,4),0.12),ROUND(O42*ROUND('CRCP &amp; évolutions'!G$88,4),2))</f>
        <v>0.35</v>
      </c>
      <c r="L42" s="438">
        <f>IF($H42=1,MROUND(P42*ROUND('CRCP &amp; évolutions'!H$88,4),0.12),ROUND(P42*ROUND('CRCP &amp; évolutions'!H$88,4),2))</f>
        <v>0.41</v>
      </c>
      <c r="M42" s="435"/>
      <c r="N42" s="314">
        <v>0.29170000000000001</v>
      </c>
      <c r="O42" s="216">
        <v>0.33029999999999998</v>
      </c>
      <c r="P42" s="312">
        <v>0.37830000000000003</v>
      </c>
      <c r="Q42" s="214"/>
    </row>
    <row r="43" spans="1:17" ht="15.75" customHeight="1" x14ac:dyDescent="0.3">
      <c r="A43" s="214"/>
      <c r="B43" s="646" t="s">
        <v>220</v>
      </c>
      <c r="C43" s="648" t="s">
        <v>128</v>
      </c>
      <c r="D43" s="648"/>
      <c r="E43" s="650"/>
      <c r="F43" s="85" t="s">
        <v>129</v>
      </c>
      <c r="G43" s="85" t="s">
        <v>130</v>
      </c>
      <c r="H43" s="238">
        <v>1</v>
      </c>
      <c r="I43" s="175">
        <v>4.1900000000000004</v>
      </c>
      <c r="J43" s="437">
        <f>IF($H43=1,MROUND(N43*ROUND('CRCP &amp; évolutions'!F$88,4),0.12),ROUND(N43*ROUND('CRCP &amp; évolutions'!F$88,4),2))</f>
        <v>5.88</v>
      </c>
      <c r="K43" s="437">
        <f>IF($H43=1,MROUND(O43*ROUND('CRCP &amp; évolutions'!G$88,4),0.12),ROUND(O43*ROUND('CRCP &amp; évolutions'!G$88,4),2))</f>
        <v>8.16</v>
      </c>
      <c r="L43" s="439">
        <f>IF($H43=1,MROUND(P43*ROUND('CRCP &amp; évolutions'!H$88,4),0.12),ROUND(P43*ROUND('CRCP &amp; évolutions'!H$88,4),2))</f>
        <v>10.199999999999999</v>
      </c>
      <c r="M43" s="435"/>
      <c r="N43" s="315">
        <v>5.8921000000000001</v>
      </c>
      <c r="O43" s="222">
        <v>7.6186999999999996</v>
      </c>
      <c r="P43" s="302">
        <v>9.3412000000000006</v>
      </c>
      <c r="Q43" s="214"/>
    </row>
    <row r="44" spans="1:17" x14ac:dyDescent="0.3">
      <c r="A44" s="214"/>
      <c r="B44" s="675"/>
      <c r="C44" s="648"/>
      <c r="D44" s="648"/>
      <c r="E44" s="650"/>
      <c r="F44" s="85" t="s">
        <v>131</v>
      </c>
      <c r="G44" s="85" t="s">
        <v>130</v>
      </c>
      <c r="H44" s="238">
        <v>1</v>
      </c>
      <c r="I44" s="175">
        <v>3.88</v>
      </c>
      <c r="J44" s="437">
        <f>IF($H44=1,MROUND(N44*ROUND('CRCP &amp; évolutions'!F$88,4),0.12),ROUND(N44*ROUND('CRCP &amp; évolutions'!F$88,4),2))</f>
        <v>5.64</v>
      </c>
      <c r="K44" s="437">
        <f>IF($H44=1,MROUND(O44*ROUND('CRCP &amp; évolutions'!G$88,4),0.12),ROUND(O44*ROUND('CRCP &amp; évolutions'!G$88,4),2))</f>
        <v>8.0399999999999991</v>
      </c>
      <c r="L44" s="439">
        <f>IF($H44=1,MROUND(P44*ROUND('CRCP &amp; évolutions'!H$88,4),0.12),ROUND(P44*ROUND('CRCP &amp; évolutions'!H$88,4),2))</f>
        <v>10.199999999999999</v>
      </c>
      <c r="M44" s="435"/>
      <c r="N44" s="313">
        <v>5.6913999999999998</v>
      </c>
      <c r="O44" s="175">
        <v>7.5084999999999997</v>
      </c>
      <c r="P44" s="303">
        <v>9.3412000000000006</v>
      </c>
      <c r="Q44" s="214"/>
    </row>
    <row r="45" spans="1:17" x14ac:dyDescent="0.3">
      <c r="A45" s="214"/>
      <c r="B45" s="675"/>
      <c r="C45" s="648"/>
      <c r="D45" s="648"/>
      <c r="E45" s="650"/>
      <c r="F45" s="85" t="s">
        <v>132</v>
      </c>
      <c r="G45" s="85" t="s">
        <v>130</v>
      </c>
      <c r="H45" s="238">
        <v>1</v>
      </c>
      <c r="I45" s="175">
        <v>3.77</v>
      </c>
      <c r="J45" s="437">
        <f>IF($H45=1,MROUND(N45*ROUND('CRCP &amp; évolutions'!F$88,4),0.12),ROUND(N45*ROUND('CRCP &amp; évolutions'!F$88,4),2))</f>
        <v>5.64</v>
      </c>
      <c r="K45" s="437">
        <f>IF($H45=1,MROUND(O45*ROUND('CRCP &amp; évolutions'!G$88,4),0.12),ROUND(O45*ROUND('CRCP &amp; évolutions'!G$88,4),2))</f>
        <v>7.92</v>
      </c>
      <c r="L45" s="439">
        <f>IF($H45=1,MROUND(P45*ROUND('CRCP &amp; évolutions'!H$88,4),0.12),ROUND(P45*ROUND('CRCP &amp; évolutions'!H$88,4),2))</f>
        <v>10.199999999999999</v>
      </c>
      <c r="M45" s="435"/>
      <c r="N45" s="313">
        <v>5.6111000000000004</v>
      </c>
      <c r="O45" s="175">
        <v>7.4684999999999997</v>
      </c>
      <c r="P45" s="303">
        <v>9.3412000000000006</v>
      </c>
      <c r="Q45" s="214"/>
    </row>
    <row r="46" spans="1:17" x14ac:dyDescent="0.3">
      <c r="A46" s="214"/>
      <c r="B46" s="675"/>
      <c r="C46" s="648"/>
      <c r="D46" s="648"/>
      <c r="E46" s="650"/>
      <c r="F46" s="85" t="s">
        <v>133</v>
      </c>
      <c r="G46" s="85" t="s">
        <v>130</v>
      </c>
      <c r="H46" s="238">
        <v>1</v>
      </c>
      <c r="I46" s="175">
        <v>3.19</v>
      </c>
      <c r="J46" s="437">
        <f>IF($H46=1,MROUND(N46*ROUND('CRCP &amp; évolutions'!F$88,4),0.12),ROUND(N46*ROUND('CRCP &amp; évolutions'!F$88,4),2))</f>
        <v>5.2799999999999994</v>
      </c>
      <c r="K46" s="437">
        <f>IF($H46=1,MROUND(O46*ROUND('CRCP &amp; évolutions'!G$88,4),0.12),ROUND(O46*ROUND('CRCP &amp; évolutions'!G$88,4),2))</f>
        <v>7.8</v>
      </c>
      <c r="L46" s="439">
        <f>IF($H46=1,MROUND(P46*ROUND('CRCP &amp; évolutions'!H$88,4),0.12),ROUND(P46*ROUND('CRCP &amp; évolutions'!H$88,4),2))</f>
        <v>10.199999999999999</v>
      </c>
      <c r="M46" s="435"/>
      <c r="N46" s="313">
        <v>5.2297000000000002</v>
      </c>
      <c r="O46" s="175">
        <v>7.2782999999999998</v>
      </c>
      <c r="P46" s="303">
        <v>9.3412000000000006</v>
      </c>
      <c r="Q46" s="214"/>
    </row>
    <row r="47" spans="1:17" x14ac:dyDescent="0.3">
      <c r="A47" s="214"/>
      <c r="B47" s="675"/>
      <c r="C47" s="648"/>
      <c r="D47" s="648"/>
      <c r="E47" s="650"/>
      <c r="F47" s="85" t="s">
        <v>134</v>
      </c>
      <c r="G47" s="85" t="s">
        <v>130</v>
      </c>
      <c r="H47" s="238">
        <v>1</v>
      </c>
      <c r="I47" s="175">
        <v>2.8</v>
      </c>
      <c r="J47" s="437">
        <f>IF($H47=1,MROUND(N47*ROUND('CRCP &amp; évolutions'!F$88,4),0.12),ROUND(N47*ROUND('CRCP &amp; évolutions'!F$88,4),2))</f>
        <v>4.92</v>
      </c>
      <c r="K47" s="437">
        <f>IF($H47=1,MROUND(O47*ROUND('CRCP &amp; évolutions'!G$88,4),0.12),ROUND(O47*ROUND('CRCP &amp; évolutions'!G$88,4),2))</f>
        <v>7.68</v>
      </c>
      <c r="L47" s="439">
        <f>IF($H47=1,MROUND(P47*ROUND('CRCP &amp; évolutions'!H$88,4),0.12),ROUND(P47*ROUND('CRCP &amp; évolutions'!H$88,4),2))</f>
        <v>10.199999999999999</v>
      </c>
      <c r="M47" s="435"/>
      <c r="N47" s="313">
        <v>4.9687000000000001</v>
      </c>
      <c r="O47" s="175">
        <v>7.1481000000000003</v>
      </c>
      <c r="P47" s="303">
        <v>9.3412000000000006</v>
      </c>
      <c r="Q47" s="214"/>
    </row>
    <row r="48" spans="1:17" ht="15.75" customHeight="1" x14ac:dyDescent="0.3">
      <c r="A48" s="214"/>
      <c r="B48" s="675"/>
      <c r="C48" s="648" t="s">
        <v>135</v>
      </c>
      <c r="D48" s="648"/>
      <c r="E48" s="650"/>
      <c r="F48" s="85" t="s">
        <v>129</v>
      </c>
      <c r="G48" s="85" t="s">
        <v>127</v>
      </c>
      <c r="H48" s="238">
        <v>0</v>
      </c>
      <c r="I48" s="175">
        <v>2.2999999999999998</v>
      </c>
      <c r="J48" s="437">
        <f>IF($H48=1,MROUND(N48*ROUND('CRCP &amp; évolutions'!F$88,4),0.12),ROUND(N48*ROUND('CRCP &amp; évolutions'!F$88,4),2))</f>
        <v>2.1800000000000002</v>
      </c>
      <c r="K48" s="437">
        <f>IF($H48=1,MROUND(O48*ROUND('CRCP &amp; évolutions'!G$88,4),0.12),ROUND(O48*ROUND('CRCP &amp; évolutions'!G$88,4),2))</f>
        <v>2.21</v>
      </c>
      <c r="L48" s="439">
        <f>IF($H48=1,MROUND(P48*ROUND('CRCP &amp; évolutions'!H$88,4),0.12),ROUND(P48*ROUND('CRCP &amp; évolutions'!H$88,4),2))</f>
        <v>2.15</v>
      </c>
      <c r="M48" s="435"/>
      <c r="N48" s="313">
        <v>2.1781999999999999</v>
      </c>
      <c r="O48" s="175">
        <v>2.0724</v>
      </c>
      <c r="P48" s="303">
        <v>1.9702999999999999</v>
      </c>
      <c r="Q48" s="214"/>
    </row>
    <row r="49" spans="1:17" x14ac:dyDescent="0.3">
      <c r="A49" s="214"/>
      <c r="B49" s="675"/>
      <c r="C49" s="648"/>
      <c r="D49" s="648"/>
      <c r="E49" s="650"/>
      <c r="F49" s="85" t="s">
        <v>131</v>
      </c>
      <c r="G49" s="85" t="s">
        <v>127</v>
      </c>
      <c r="H49" s="238">
        <v>0</v>
      </c>
      <c r="I49" s="175">
        <v>1.88</v>
      </c>
      <c r="J49" s="437">
        <f>IF($H49=1,MROUND(N49*ROUND('CRCP &amp; évolutions'!F$88,4),0.12),ROUND(N49*ROUND('CRCP &amp; évolutions'!F$88,4),2))</f>
        <v>1.8</v>
      </c>
      <c r="K49" s="437">
        <f>IF($H49=1,MROUND(O49*ROUND('CRCP &amp; évolutions'!G$88,4),0.12),ROUND(O49*ROUND('CRCP &amp; évolutions'!G$88,4),2))</f>
        <v>1.84</v>
      </c>
      <c r="L49" s="439">
        <f>IF($H49=1,MROUND(P49*ROUND('CRCP &amp; évolutions'!H$88,4),0.12),ROUND(P49*ROUND('CRCP &amp; évolutions'!H$88,4),2))</f>
        <v>1.82</v>
      </c>
      <c r="M49" s="435"/>
      <c r="N49" s="313">
        <v>1.7968</v>
      </c>
      <c r="O49" s="175">
        <v>1.722</v>
      </c>
      <c r="P49" s="303">
        <v>1.6601999999999999</v>
      </c>
      <c r="Q49" s="214"/>
    </row>
    <row r="50" spans="1:17" x14ac:dyDescent="0.3">
      <c r="A50" s="214"/>
      <c r="B50" s="675"/>
      <c r="C50" s="648"/>
      <c r="D50" s="648"/>
      <c r="E50" s="650"/>
      <c r="F50" s="85" t="s">
        <v>132</v>
      </c>
      <c r="G50" s="85" t="s">
        <v>127</v>
      </c>
      <c r="H50" s="238">
        <v>0</v>
      </c>
      <c r="I50" s="175">
        <v>1.57</v>
      </c>
      <c r="J50" s="437">
        <f>IF($H50=1,MROUND(N50*ROUND('CRCP &amp; évolutions'!F$88,4),0.12),ROUND(N50*ROUND('CRCP &amp; évolutions'!F$88,4),2))</f>
        <v>1.53</v>
      </c>
      <c r="K50" s="437">
        <f>IF($H50=1,MROUND(O50*ROUND('CRCP &amp; évolutions'!G$88,4),0.12),ROUND(O50*ROUND('CRCP &amp; évolutions'!G$88,4),2))</f>
        <v>1.57</v>
      </c>
      <c r="L50" s="439">
        <f>IF($H50=1,MROUND(P50*ROUND('CRCP &amp; évolutions'!H$88,4),0.12),ROUND(P50*ROUND('CRCP &amp; évolutions'!H$88,4),2))</f>
        <v>1.55</v>
      </c>
      <c r="M50" s="435"/>
      <c r="N50" s="313">
        <v>1.5257000000000001</v>
      </c>
      <c r="O50" s="175">
        <v>1.4717</v>
      </c>
      <c r="P50" s="303">
        <v>1.4201999999999999</v>
      </c>
      <c r="Q50" s="214"/>
    </row>
    <row r="51" spans="1:17" x14ac:dyDescent="0.3">
      <c r="A51" s="214"/>
      <c r="B51" s="675"/>
      <c r="C51" s="648"/>
      <c r="D51" s="648"/>
      <c r="E51" s="650"/>
      <c r="F51" s="85" t="s">
        <v>133</v>
      </c>
      <c r="G51" s="85" t="s">
        <v>127</v>
      </c>
      <c r="H51" s="238">
        <v>0</v>
      </c>
      <c r="I51" s="175">
        <v>1.18</v>
      </c>
      <c r="J51" s="437">
        <f>IF($H51=1,MROUND(N51*ROUND('CRCP &amp; évolutions'!F$88,4),0.12),ROUND(N51*ROUND('CRCP &amp; évolutions'!F$88,4),2))</f>
        <v>1.08</v>
      </c>
      <c r="K51" s="437">
        <f>IF($H51=1,MROUND(O51*ROUND('CRCP &amp; évolutions'!G$88,4),0.12),ROUND(O51*ROUND('CRCP &amp; évolutions'!G$88,4),2))</f>
        <v>1.06</v>
      </c>
      <c r="L51" s="439">
        <f>IF($H51=1,MROUND(P51*ROUND('CRCP &amp; évolutions'!H$88,4),0.12),ROUND(P51*ROUND('CRCP &amp; évolutions'!H$88,4),2))</f>
        <v>1</v>
      </c>
      <c r="M51" s="435"/>
      <c r="N51" s="313">
        <v>1.0841000000000001</v>
      </c>
      <c r="O51" s="175">
        <v>0.99109999999999998</v>
      </c>
      <c r="P51" s="303">
        <v>0.91010000000000002</v>
      </c>
      <c r="Q51" s="214"/>
    </row>
    <row r="52" spans="1:17" ht="16.5" thickBot="1" x14ac:dyDescent="0.35">
      <c r="A52" s="214"/>
      <c r="B52" s="647"/>
      <c r="C52" s="649"/>
      <c r="D52" s="649"/>
      <c r="E52" s="669"/>
      <c r="F52" s="219" t="s">
        <v>134</v>
      </c>
      <c r="G52" s="219" t="s">
        <v>127</v>
      </c>
      <c r="H52" s="237">
        <v>0</v>
      </c>
      <c r="I52" s="216">
        <v>0.85</v>
      </c>
      <c r="J52" s="217">
        <f>IF($H52=1,MROUND(N52*ROUND('CRCP &amp; évolutions'!F$88,4),0.12),ROUND(N52*ROUND('CRCP &amp; évolutions'!F$88,4),2))</f>
        <v>0.77</v>
      </c>
      <c r="K52" s="217">
        <f>IF($H52=1,MROUND(O52*ROUND('CRCP &amp; évolutions'!G$88,4),0.12),ROUND(O52*ROUND('CRCP &amp; évolutions'!G$88,4),2))</f>
        <v>0.76</v>
      </c>
      <c r="L52" s="438">
        <f>IF($H52=1,MROUND(P52*ROUND('CRCP &amp; évolutions'!H$88,4),0.12),ROUND(P52*ROUND('CRCP &amp; évolutions'!H$88,4),2))</f>
        <v>0.7</v>
      </c>
      <c r="M52" s="435"/>
      <c r="N52" s="314">
        <v>0.77290000000000003</v>
      </c>
      <c r="O52" s="216">
        <v>0.71079999999999999</v>
      </c>
      <c r="P52" s="312">
        <v>0.6401</v>
      </c>
      <c r="Q52" s="214"/>
    </row>
    <row r="53" spans="1:17" ht="15.75" customHeight="1" x14ac:dyDescent="0.3">
      <c r="A53" s="214"/>
      <c r="B53" s="646" t="s">
        <v>221</v>
      </c>
      <c r="C53" s="648" t="s">
        <v>128</v>
      </c>
      <c r="D53" s="648"/>
      <c r="E53" s="650"/>
      <c r="F53" s="85" t="s">
        <v>129</v>
      </c>
      <c r="G53" s="85" t="s">
        <v>130</v>
      </c>
      <c r="H53" s="238">
        <v>1</v>
      </c>
      <c r="I53" s="175">
        <v>16.63</v>
      </c>
      <c r="J53" s="437">
        <f>IF($H53=1,MROUND(N53*ROUND('CRCP &amp; évolutions'!F$88,4),0.12),ROUND(N53*ROUND('CRCP &amp; évolutions'!F$88,4),2))</f>
        <v>14.639999999999999</v>
      </c>
      <c r="K53" s="437">
        <f>IF($H53=1,MROUND(O53*ROUND('CRCP &amp; évolutions'!G$88,4),0.12),ROUND(O53*ROUND('CRCP &amp; évolutions'!G$88,4),2))</f>
        <v>13.559999999999999</v>
      </c>
      <c r="L53" s="439">
        <f>IF($H53=1,MROUND(P53*ROUND('CRCP &amp; évolutions'!H$88,4),0.12),ROUND(P53*ROUND('CRCP &amp; évolutions'!H$88,4),2))</f>
        <v>11.879999999999999</v>
      </c>
      <c r="M53" s="435"/>
      <c r="N53" s="315">
        <v>14.665100000000001</v>
      </c>
      <c r="O53" s="222">
        <v>12.7545</v>
      </c>
      <c r="P53" s="302">
        <v>10.881399999999999</v>
      </c>
      <c r="Q53" s="214"/>
    </row>
    <row r="54" spans="1:17" x14ac:dyDescent="0.3">
      <c r="A54" s="214"/>
      <c r="B54" s="675"/>
      <c r="C54" s="648"/>
      <c r="D54" s="648"/>
      <c r="E54" s="650"/>
      <c r="F54" s="85" t="s">
        <v>131</v>
      </c>
      <c r="G54" s="85" t="s">
        <v>130</v>
      </c>
      <c r="H54" s="238">
        <v>1</v>
      </c>
      <c r="I54" s="175">
        <v>16.02</v>
      </c>
      <c r="J54" s="437">
        <f>IF($H54=1,MROUND(N54*ROUND('CRCP &amp; évolutions'!F$88,4),0.12),ROUND(N54*ROUND('CRCP &amp; évolutions'!F$88,4),2))</f>
        <v>14.16</v>
      </c>
      <c r="K54" s="437">
        <f>IF($H54=1,MROUND(O54*ROUND('CRCP &amp; évolutions'!G$88,4),0.12),ROUND(O54*ROUND('CRCP &amp; évolutions'!G$88,4),2))</f>
        <v>13.32</v>
      </c>
      <c r="L54" s="439">
        <f>IF($H54=1,MROUND(P54*ROUND('CRCP &amp; évolutions'!H$88,4),0.12),ROUND(P54*ROUND('CRCP &amp; évolutions'!H$88,4),2))</f>
        <v>11.639999999999999</v>
      </c>
      <c r="M54" s="435"/>
      <c r="N54" s="313">
        <v>14.2034</v>
      </c>
      <c r="O54" s="175">
        <v>12.444100000000001</v>
      </c>
      <c r="P54" s="303">
        <v>10.6914</v>
      </c>
      <c r="Q54" s="214"/>
    </row>
    <row r="55" spans="1:17" x14ac:dyDescent="0.3">
      <c r="A55" s="214"/>
      <c r="B55" s="675"/>
      <c r="C55" s="648"/>
      <c r="D55" s="648"/>
      <c r="E55" s="650"/>
      <c r="F55" s="85" t="s">
        <v>132</v>
      </c>
      <c r="G55" s="85" t="s">
        <v>130</v>
      </c>
      <c r="H55" s="238">
        <v>1</v>
      </c>
      <c r="I55" s="175">
        <v>13.59</v>
      </c>
      <c r="J55" s="442">
        <f>IF($H55=1,MROUND(N55*ROUND('CRCP &amp; évolutions'!F$88,4),0.12),ROUND(N55*ROUND('CRCP &amp; évolutions'!F$88,4),2))</f>
        <v>12.36</v>
      </c>
      <c r="K55" s="437">
        <f>IF($H55=1,MROUND(O55*ROUND('CRCP &amp; évolutions'!G$88,4),0.12),ROUND(O55*ROUND('CRCP &amp; évolutions'!G$88,4),2))</f>
        <v>12</v>
      </c>
      <c r="L55" s="439">
        <f>IF($H55=1,MROUND(P55*ROUND('CRCP &amp; évolutions'!H$88,4),0.12),ROUND(P55*ROUND('CRCP &amp; évolutions'!H$88,4),2))</f>
        <v>11.04</v>
      </c>
      <c r="M55" s="435"/>
      <c r="N55" s="313">
        <v>12.416700000000001</v>
      </c>
      <c r="O55" s="175">
        <v>11.2728</v>
      </c>
      <c r="P55" s="303">
        <v>10.151400000000001</v>
      </c>
      <c r="Q55" s="214"/>
    </row>
    <row r="56" spans="1:17" x14ac:dyDescent="0.3">
      <c r="A56" s="214"/>
      <c r="B56" s="675"/>
      <c r="C56" s="648"/>
      <c r="D56" s="648"/>
      <c r="E56" s="650"/>
      <c r="F56" s="85" t="s">
        <v>133</v>
      </c>
      <c r="G56" s="85" t="s">
        <v>130</v>
      </c>
      <c r="H56" s="238">
        <v>1</v>
      </c>
      <c r="I56" s="175">
        <v>9.91</v>
      </c>
      <c r="J56" s="442">
        <f>IF($H56=1,MROUND(N56*ROUND('CRCP &amp; évolutions'!F$88,4),0.12),ROUND(N56*ROUND('CRCP &amp; évolutions'!F$88,4),2))</f>
        <v>9.84</v>
      </c>
      <c r="K56" s="437">
        <f>IF($H56=1,MROUND(O56*ROUND('CRCP &amp; évolutions'!G$88,4),0.12),ROUND(O56*ROUND('CRCP &amp; évolutions'!G$88,4),2))</f>
        <v>10.44</v>
      </c>
      <c r="L56" s="439">
        <f>IF($H56=1,MROUND(P56*ROUND('CRCP &amp; évolutions'!H$88,4),0.12),ROUND(P56*ROUND('CRCP &amp; évolutions'!H$88,4),2))</f>
        <v>10.68</v>
      </c>
      <c r="M56" s="435"/>
      <c r="N56" s="313">
        <v>9.8269000000000002</v>
      </c>
      <c r="O56" s="175">
        <v>9.7611000000000008</v>
      </c>
      <c r="P56" s="303">
        <v>9.7312999999999992</v>
      </c>
      <c r="Q56" s="214"/>
    </row>
    <row r="57" spans="1:17" x14ac:dyDescent="0.3">
      <c r="A57" s="214"/>
      <c r="B57" s="675"/>
      <c r="C57" s="648"/>
      <c r="D57" s="648"/>
      <c r="E57" s="650"/>
      <c r="F57" s="85" t="s">
        <v>134</v>
      </c>
      <c r="G57" s="85" t="s">
        <v>130</v>
      </c>
      <c r="H57" s="238">
        <v>1</v>
      </c>
      <c r="I57" s="175">
        <v>5.87</v>
      </c>
      <c r="J57" s="442">
        <f>IF($H57=1,MROUND(N57*ROUND('CRCP &amp; évolutions'!F$88,4),0.12),ROUND(N57*ROUND('CRCP &amp; évolutions'!F$88,4),2))</f>
        <v>7.08</v>
      </c>
      <c r="K57" s="437">
        <f>IF($H57=1,MROUND(O57*ROUND('CRCP &amp; évolutions'!G$88,4),0.12),ROUND(O57*ROUND('CRCP &amp; évolutions'!G$88,4),2))</f>
        <v>8.76</v>
      </c>
      <c r="L57" s="439">
        <f>IF($H57=1,MROUND(P57*ROUND('CRCP &amp; évolutions'!H$88,4),0.12),ROUND(P57*ROUND('CRCP &amp; évolutions'!H$88,4),2))</f>
        <v>10.32</v>
      </c>
      <c r="M57" s="435"/>
      <c r="N57" s="313">
        <v>7.0465</v>
      </c>
      <c r="O57" s="175">
        <v>8.2493999999999996</v>
      </c>
      <c r="P57" s="303">
        <v>9.4612999999999996</v>
      </c>
      <c r="Q57" s="214"/>
    </row>
    <row r="58" spans="1:17" ht="15.75" customHeight="1" x14ac:dyDescent="0.3">
      <c r="A58" s="214"/>
      <c r="B58" s="675"/>
      <c r="C58" s="648" t="s">
        <v>135</v>
      </c>
      <c r="D58" s="648"/>
      <c r="E58" s="650"/>
      <c r="F58" s="85" t="s">
        <v>129</v>
      </c>
      <c r="G58" s="85" t="s">
        <v>127</v>
      </c>
      <c r="H58" s="238">
        <v>0</v>
      </c>
      <c r="I58" s="175">
        <v>1.7</v>
      </c>
      <c r="J58" s="442">
        <f>IF($H58=1,MROUND(N58*ROUND('CRCP &amp; évolutions'!F$88,4),0.12),ROUND(N58*ROUND('CRCP &amp; évolutions'!F$88,4),2))</f>
        <v>1.64</v>
      </c>
      <c r="K58" s="437">
        <f>IF($H58=1,MROUND(O58*ROUND('CRCP &amp; évolutions'!G$88,4),0.12),ROUND(O58*ROUND('CRCP &amp; évolutions'!G$88,4),2))</f>
        <v>1.68</v>
      </c>
      <c r="L58" s="439">
        <f>IF($H58=1,MROUND(P58*ROUND('CRCP &amp; évolutions'!H$88,4),0.12),ROUND(P58*ROUND('CRCP &amp; évolutions'!H$88,4),2))</f>
        <v>1.65</v>
      </c>
      <c r="M58" s="435"/>
      <c r="N58" s="313">
        <v>1.6361000000000001</v>
      </c>
      <c r="O58" s="175">
        <v>1.5718000000000001</v>
      </c>
      <c r="P58" s="303">
        <v>1.5102</v>
      </c>
      <c r="Q58" s="214"/>
    </row>
    <row r="59" spans="1:17" x14ac:dyDescent="0.3">
      <c r="A59" s="214"/>
      <c r="B59" s="675"/>
      <c r="C59" s="648"/>
      <c r="D59" s="648"/>
      <c r="E59" s="650"/>
      <c r="F59" s="85" t="s">
        <v>131</v>
      </c>
      <c r="G59" s="85" t="s">
        <v>127</v>
      </c>
      <c r="H59" s="238">
        <v>0</v>
      </c>
      <c r="I59" s="175">
        <v>1.39</v>
      </c>
      <c r="J59" s="437">
        <f>IF($H59=1,MROUND(N59*ROUND('CRCP &amp; évolutions'!F$88,4),0.12),ROUND(N59*ROUND('CRCP &amp; évolutions'!F$88,4),2))</f>
        <v>1.38</v>
      </c>
      <c r="K59" s="437">
        <f>IF($H59=1,MROUND(O59*ROUND('CRCP &amp; évolutions'!G$88,4),0.12),ROUND(O59*ROUND('CRCP &amp; évolutions'!G$88,4),2))</f>
        <v>1.46</v>
      </c>
      <c r="L59" s="439">
        <f>IF($H59=1,MROUND(P59*ROUND('CRCP &amp; évolutions'!H$88,4),0.12),ROUND(P59*ROUND('CRCP &amp; évolutions'!H$88,4),2))</f>
        <v>1.49</v>
      </c>
      <c r="M59" s="435"/>
      <c r="N59" s="313">
        <v>1.3752</v>
      </c>
      <c r="O59" s="175">
        <v>1.3715999999999999</v>
      </c>
      <c r="P59" s="303">
        <v>1.3602000000000001</v>
      </c>
      <c r="Q59" s="214"/>
    </row>
    <row r="60" spans="1:17" x14ac:dyDescent="0.3">
      <c r="A60" s="214"/>
      <c r="B60" s="675"/>
      <c r="C60" s="648"/>
      <c r="D60" s="648"/>
      <c r="E60" s="650"/>
      <c r="F60" s="85" t="s">
        <v>132</v>
      </c>
      <c r="G60" s="85" t="s">
        <v>127</v>
      </c>
      <c r="H60" s="238">
        <v>0</v>
      </c>
      <c r="I60" s="175">
        <v>0.92</v>
      </c>
      <c r="J60" s="437">
        <f>IF($H60=1,MROUND(N60*ROUND('CRCP &amp; évolutions'!F$88,4),0.12),ROUND(N60*ROUND('CRCP &amp; évolutions'!F$88,4),2))</f>
        <v>1.01</v>
      </c>
      <c r="K60" s="437">
        <f>IF($H60=1,MROUND(O60*ROUND('CRCP &amp; évolutions'!G$88,4),0.12),ROUND(O60*ROUND('CRCP &amp; évolutions'!G$88,4),2))</f>
        <v>1.19</v>
      </c>
      <c r="L60" s="439">
        <f>IF($H60=1,MROUND(P60*ROUND('CRCP &amp; évolutions'!H$88,4),0.12),ROUND(P60*ROUND('CRCP &amp; évolutions'!H$88,4),2))</f>
        <v>1.33</v>
      </c>
      <c r="M60" s="435"/>
      <c r="N60" s="313">
        <v>1.0138</v>
      </c>
      <c r="O60" s="175">
        <v>1.1113</v>
      </c>
      <c r="P60" s="303">
        <v>1.2202</v>
      </c>
      <c r="Q60" s="214"/>
    </row>
    <row r="61" spans="1:17" x14ac:dyDescent="0.3">
      <c r="A61" s="214"/>
      <c r="B61" s="675"/>
      <c r="C61" s="648"/>
      <c r="D61" s="648"/>
      <c r="E61" s="650"/>
      <c r="F61" s="85" t="s">
        <v>133</v>
      </c>
      <c r="G61" s="85" t="s">
        <v>127</v>
      </c>
      <c r="H61" s="238">
        <v>0</v>
      </c>
      <c r="I61" s="175">
        <v>0.65</v>
      </c>
      <c r="J61" s="437">
        <f>IF($H61=1,MROUND(N61*ROUND('CRCP &amp; évolutions'!F$88,4),0.12),ROUND(N61*ROUND('CRCP &amp; évolutions'!F$88,4),2))</f>
        <v>0.7</v>
      </c>
      <c r="K61" s="437">
        <f>IF($H61=1,MROUND(O61*ROUND('CRCP &amp; évolutions'!G$88,4),0.12),ROUND(O61*ROUND('CRCP &amp; évolutions'!G$88,4),2))</f>
        <v>0.8</v>
      </c>
      <c r="L61" s="439">
        <f>IF($H61=1,MROUND(P61*ROUND('CRCP &amp; évolutions'!H$88,4),0.12),ROUND(P61*ROUND('CRCP &amp; évolutions'!H$88,4),2))</f>
        <v>0.87</v>
      </c>
      <c r="M61" s="435"/>
      <c r="N61" s="313">
        <v>0.7026</v>
      </c>
      <c r="O61" s="175">
        <v>0.75090000000000001</v>
      </c>
      <c r="P61" s="303">
        <v>0.80010000000000003</v>
      </c>
      <c r="Q61" s="214"/>
    </row>
    <row r="62" spans="1:17" ht="16.5" thickBot="1" x14ac:dyDescent="0.35">
      <c r="A62" s="214"/>
      <c r="B62" s="647"/>
      <c r="C62" s="649"/>
      <c r="D62" s="649"/>
      <c r="E62" s="669"/>
      <c r="F62" s="219" t="s">
        <v>134</v>
      </c>
      <c r="G62" s="219" t="s">
        <v>127</v>
      </c>
      <c r="H62" s="237">
        <v>0</v>
      </c>
      <c r="I62" s="216">
        <v>0.44</v>
      </c>
      <c r="J62" s="217">
        <f>IF($H62=1,MROUND(N62*ROUND('CRCP &amp; évolutions'!F$88,4),0.12),ROUND(N62*ROUND('CRCP &amp; évolutions'!F$88,4),2))</f>
        <v>0.5</v>
      </c>
      <c r="K62" s="217">
        <f>IF($H62=1,MROUND(O62*ROUND('CRCP &amp; évolutions'!G$88,4),0.12),ROUND(O62*ROUND('CRCP &amp; évolutions'!G$88,4),2))</f>
        <v>0.59</v>
      </c>
      <c r="L62" s="438">
        <f>IF($H62=1,MROUND(P62*ROUND('CRCP &amp; évolutions'!H$88,4),0.12),ROUND(P62*ROUND('CRCP &amp; évolutions'!H$88,4),2))</f>
        <v>0.66</v>
      </c>
      <c r="M62" s="435"/>
      <c r="N62" s="314">
        <v>0.50190000000000001</v>
      </c>
      <c r="O62" s="216">
        <v>0.55059999999999998</v>
      </c>
      <c r="P62" s="312">
        <v>0.60009999999999997</v>
      </c>
      <c r="Q62" s="214"/>
    </row>
    <row r="63" spans="1:17" ht="15.75" customHeight="1" x14ac:dyDescent="0.3">
      <c r="A63" s="214"/>
      <c r="B63" s="646" t="s">
        <v>222</v>
      </c>
      <c r="C63" s="648" t="s">
        <v>128</v>
      </c>
      <c r="D63" s="648"/>
      <c r="E63" s="650"/>
      <c r="F63" s="85" t="s">
        <v>129</v>
      </c>
      <c r="G63" s="85" t="s">
        <v>130</v>
      </c>
      <c r="H63" s="238">
        <v>1</v>
      </c>
      <c r="I63" s="175">
        <v>32.17</v>
      </c>
      <c r="J63" s="437">
        <f>IF($H63=1,MROUND(N63*ROUND('CRCP &amp; évolutions'!F$88,4),0.12),ROUND(N63*ROUND('CRCP &amp; évolutions'!F$88,4),2))</f>
        <v>32.64</v>
      </c>
      <c r="K63" s="437">
        <f>IF($H63=1,MROUND(O63*ROUND('CRCP &amp; évolutions'!G$88,4),0.12),ROUND(O63*ROUND('CRCP &amp; évolutions'!G$88,4),2))</f>
        <v>35.4</v>
      </c>
      <c r="L63" s="439">
        <f>IF($H63=1,MROUND(P63*ROUND('CRCP &amp; évolutions'!H$88,4),0.12),ROUND(P63*ROUND('CRCP &amp; évolutions'!H$88,4),2))</f>
        <v>36.96</v>
      </c>
      <c r="M63" s="435"/>
      <c r="N63" s="315">
        <v>32.622599999999998</v>
      </c>
      <c r="O63" s="222">
        <v>33.1877</v>
      </c>
      <c r="P63" s="302">
        <v>33.8245</v>
      </c>
      <c r="Q63" s="214"/>
    </row>
    <row r="64" spans="1:17" x14ac:dyDescent="0.3">
      <c r="A64" s="214"/>
      <c r="B64" s="675"/>
      <c r="C64" s="648"/>
      <c r="D64" s="648"/>
      <c r="E64" s="650"/>
      <c r="F64" s="85" t="s">
        <v>131</v>
      </c>
      <c r="G64" s="85" t="s">
        <v>130</v>
      </c>
      <c r="H64" s="238">
        <v>1</v>
      </c>
      <c r="I64" s="175">
        <v>30.99</v>
      </c>
      <c r="J64" s="437">
        <f>IF($H64=1,MROUND(N64*ROUND('CRCP &amp; évolutions'!F$88,4),0.12),ROUND(N64*ROUND('CRCP &amp; évolutions'!F$88,4),2))</f>
        <v>31.32</v>
      </c>
      <c r="K64" s="437">
        <f>IF($H64=1,MROUND(O64*ROUND('CRCP &amp; évolutions'!G$88,4),0.12),ROUND(O64*ROUND('CRCP &amp; évolutions'!G$88,4),2))</f>
        <v>33.839999999999996</v>
      </c>
      <c r="L64" s="439">
        <f>IF($H64=1,MROUND(P64*ROUND('CRCP &amp; évolutions'!H$88,4),0.12),ROUND(P64*ROUND('CRCP &amp; évolutions'!H$88,4),2))</f>
        <v>34.199999999999996</v>
      </c>
      <c r="M64" s="435"/>
      <c r="N64" s="313">
        <v>31.317699999999999</v>
      </c>
      <c r="O64" s="175">
        <v>31.746099999999998</v>
      </c>
      <c r="P64" s="303">
        <v>31.234300000000001</v>
      </c>
      <c r="Q64" s="214"/>
    </row>
    <row r="65" spans="1:17" x14ac:dyDescent="0.3">
      <c r="A65" s="214"/>
      <c r="B65" s="675"/>
      <c r="C65" s="648"/>
      <c r="D65" s="648"/>
      <c r="E65" s="650"/>
      <c r="F65" s="85" t="s">
        <v>132</v>
      </c>
      <c r="G65" s="85" t="s">
        <v>130</v>
      </c>
      <c r="H65" s="238">
        <v>1</v>
      </c>
      <c r="I65" s="175">
        <v>24.86</v>
      </c>
      <c r="J65" s="437">
        <f>IF($H65=1,MROUND(N65*ROUND('CRCP &amp; évolutions'!F$88,4),0.12),ROUND(N65*ROUND('CRCP &amp; évolutions'!F$88,4),2))</f>
        <v>24.96</v>
      </c>
      <c r="K65" s="437">
        <f>IF($H65=1,MROUND(O65*ROUND('CRCP &amp; évolutions'!G$88,4),0.12),ROUND(O65*ROUND('CRCP &amp; évolutions'!G$88,4),2))</f>
        <v>26.88</v>
      </c>
      <c r="L65" s="439">
        <f>IF($H65=1,MROUND(P65*ROUND('CRCP &amp; évolutions'!H$88,4),0.12),ROUND(P65*ROUND('CRCP &amp; évolutions'!H$88,4),2))</f>
        <v>27.959999999999997</v>
      </c>
      <c r="M65" s="435"/>
      <c r="N65" s="313">
        <v>25.013999999999999</v>
      </c>
      <c r="O65" s="175">
        <v>25.238700000000001</v>
      </c>
      <c r="P65" s="303">
        <v>25.523399999999999</v>
      </c>
      <c r="Q65" s="214"/>
    </row>
    <row r="66" spans="1:17" x14ac:dyDescent="0.3">
      <c r="A66" s="214"/>
      <c r="B66" s="675"/>
      <c r="C66" s="648"/>
      <c r="D66" s="648"/>
      <c r="E66" s="650"/>
      <c r="F66" s="85" t="s">
        <v>133</v>
      </c>
      <c r="G66" s="85" t="s">
        <v>130</v>
      </c>
      <c r="H66" s="238">
        <v>1</v>
      </c>
      <c r="I66" s="175">
        <v>17.489999999999998</v>
      </c>
      <c r="J66" s="437">
        <f>IF($H66=1,MROUND(N66*ROUND('CRCP &amp; évolutions'!F$88,4),0.12),ROUND(N66*ROUND('CRCP &amp; évolutions'!F$88,4),2))</f>
        <v>17.399999999999999</v>
      </c>
      <c r="K66" s="437">
        <f>IF($H66=1,MROUND(O66*ROUND('CRCP &amp; évolutions'!G$88,4),0.12),ROUND(O66*ROUND('CRCP &amp; évolutions'!G$88,4),2))</f>
        <v>18.48</v>
      </c>
      <c r="L66" s="439">
        <f>IF($H66=1,MROUND(P66*ROUND('CRCP &amp; évolutions'!H$88,4),0.12),ROUND(P66*ROUND('CRCP &amp; évolutions'!H$88,4),2))</f>
        <v>18.84</v>
      </c>
      <c r="M66" s="435"/>
      <c r="N66" s="313">
        <v>17.3552</v>
      </c>
      <c r="O66" s="175">
        <v>17.279599999999999</v>
      </c>
      <c r="P66" s="303">
        <v>17.222300000000001</v>
      </c>
      <c r="Q66" s="214"/>
    </row>
    <row r="67" spans="1:17" x14ac:dyDescent="0.3">
      <c r="A67" s="214"/>
      <c r="B67" s="675"/>
      <c r="C67" s="648"/>
      <c r="D67" s="648"/>
      <c r="E67" s="650"/>
      <c r="F67" s="85" t="s">
        <v>134</v>
      </c>
      <c r="G67" s="85" t="s">
        <v>130</v>
      </c>
      <c r="H67" s="238">
        <v>1</v>
      </c>
      <c r="I67" s="175">
        <v>9.94</v>
      </c>
      <c r="J67" s="437">
        <f>IF($H67=1,MROUND(N67*ROUND('CRCP &amp; évolutions'!F$88,4),0.12),ROUND(N67*ROUND('CRCP &amp; évolutions'!F$88,4),2))</f>
        <v>10.799999999999999</v>
      </c>
      <c r="K67" s="437">
        <f>IF($H67=1,MROUND(O67*ROUND('CRCP &amp; évolutions'!G$88,4),0.12),ROUND(O67*ROUND('CRCP &amp; évolutions'!G$88,4),2))</f>
        <v>12.48</v>
      </c>
      <c r="L67" s="439">
        <f>IF($H67=1,MROUND(P67*ROUND('CRCP &amp; évolutions'!H$88,4),0.12),ROUND(P67*ROUND('CRCP &amp; évolutions'!H$88,4),2))</f>
        <v>13.799999999999999</v>
      </c>
      <c r="M67" s="435"/>
      <c r="N67" s="313">
        <v>10.800599999999999</v>
      </c>
      <c r="O67" s="175">
        <v>11.693300000000001</v>
      </c>
      <c r="P67" s="303">
        <v>12.601699999999999</v>
      </c>
      <c r="Q67" s="214"/>
    </row>
    <row r="68" spans="1:17" ht="15.75" customHeight="1" x14ac:dyDescent="0.3">
      <c r="A68" s="214"/>
      <c r="B68" s="675"/>
      <c r="C68" s="648" t="s">
        <v>135</v>
      </c>
      <c r="D68" s="648"/>
      <c r="E68" s="650"/>
      <c r="F68" s="85" t="s">
        <v>129</v>
      </c>
      <c r="G68" s="85" t="s">
        <v>127</v>
      </c>
      <c r="H68" s="238">
        <v>0</v>
      </c>
      <c r="I68" s="175">
        <v>1.24</v>
      </c>
      <c r="J68" s="437">
        <f>IF($H68=1,MROUND(N68*ROUND('CRCP &amp; évolutions'!F$88,4),0.12),ROUND(N68*ROUND('CRCP &amp; évolutions'!F$88,4),2))</f>
        <v>1.03</v>
      </c>
      <c r="K68" s="437">
        <f>IF($H68=1,MROUND(O68*ROUND('CRCP &amp; évolutions'!G$88,4),0.12),ROUND(O68*ROUND('CRCP &amp; évolutions'!G$88,4),2))</f>
        <v>0.89</v>
      </c>
      <c r="L68" s="439">
        <f>IF($H68=1,MROUND(P68*ROUND('CRCP &amp; évolutions'!H$88,4),0.12),ROUND(P68*ROUND('CRCP &amp; évolutions'!H$88,4),2))</f>
        <v>0.69</v>
      </c>
      <c r="M68" s="435"/>
      <c r="N68" s="313">
        <v>1.0339</v>
      </c>
      <c r="O68" s="175">
        <v>0.83089999999999997</v>
      </c>
      <c r="P68" s="303">
        <v>0.63009999999999999</v>
      </c>
      <c r="Q68" s="214"/>
    </row>
    <row r="69" spans="1:17" ht="15.75" customHeight="1" x14ac:dyDescent="0.3">
      <c r="A69" s="214"/>
      <c r="B69" s="675"/>
      <c r="C69" s="648"/>
      <c r="D69" s="648"/>
      <c r="E69" s="650"/>
      <c r="F69" s="85" t="s">
        <v>131</v>
      </c>
      <c r="G69" s="85" t="s">
        <v>127</v>
      </c>
      <c r="H69" s="238">
        <v>0</v>
      </c>
      <c r="I69" s="175">
        <v>0.95</v>
      </c>
      <c r="J69" s="437">
        <f>IF($H69=1,MROUND(N69*ROUND('CRCP &amp; évolutions'!F$88,4),0.12),ROUND(N69*ROUND('CRCP &amp; évolutions'!F$88,4),2))</f>
        <v>0.83</v>
      </c>
      <c r="K69" s="437">
        <f>IF($H69=1,MROUND(O69*ROUND('CRCP &amp; évolutions'!G$88,4),0.12),ROUND(O69*ROUND('CRCP &amp; évolutions'!G$88,4),2))</f>
        <v>0.77</v>
      </c>
      <c r="L69" s="439">
        <f>IF($H69=1,MROUND(P69*ROUND('CRCP &amp; évolutions'!H$88,4),0.12),ROUND(P69*ROUND('CRCP &amp; évolutions'!H$88,4),2))</f>
        <v>0.67</v>
      </c>
      <c r="M69" s="435"/>
      <c r="N69" s="313">
        <v>0.83309999999999995</v>
      </c>
      <c r="O69" s="175">
        <v>0.7208</v>
      </c>
      <c r="P69" s="303">
        <v>0.61009999999999998</v>
      </c>
      <c r="Q69" s="214"/>
    </row>
    <row r="70" spans="1:17" ht="15.75" customHeight="1" x14ac:dyDescent="0.3">
      <c r="A70" s="214"/>
      <c r="B70" s="675"/>
      <c r="C70" s="648"/>
      <c r="D70" s="648"/>
      <c r="E70" s="650"/>
      <c r="F70" s="85" t="s">
        <v>132</v>
      </c>
      <c r="G70" s="85" t="s">
        <v>127</v>
      </c>
      <c r="H70" s="238">
        <v>0</v>
      </c>
      <c r="I70" s="175">
        <v>0.6</v>
      </c>
      <c r="J70" s="437">
        <f>IF($H70=1,MROUND(N70*ROUND('CRCP &amp; évolutions'!F$88,4),0.12),ROUND(N70*ROUND('CRCP &amp; évolutions'!F$88,4),2))</f>
        <v>0.56999999999999995</v>
      </c>
      <c r="K70" s="437">
        <f>IF($H70=1,MROUND(O70*ROUND('CRCP &amp; évolutions'!G$88,4),0.12),ROUND(O70*ROUND('CRCP &amp; évolutions'!G$88,4),2))</f>
        <v>0.57999999999999996</v>
      </c>
      <c r="L70" s="439">
        <f>IF($H70=1,MROUND(P70*ROUND('CRCP &amp; évolutions'!H$88,4),0.12),ROUND(P70*ROUND('CRCP &amp; évolutions'!H$88,4),2))</f>
        <v>0.56999999999999995</v>
      </c>
      <c r="M70" s="435"/>
      <c r="N70" s="313">
        <v>0.57220000000000004</v>
      </c>
      <c r="O70" s="175">
        <v>0.54059999999999997</v>
      </c>
      <c r="P70" s="303">
        <v>0.52010000000000001</v>
      </c>
      <c r="Q70" s="214"/>
    </row>
    <row r="71" spans="1:17" x14ac:dyDescent="0.3">
      <c r="A71" s="214"/>
      <c r="B71" s="675"/>
      <c r="C71" s="648"/>
      <c r="D71" s="648"/>
      <c r="E71" s="650"/>
      <c r="F71" s="85" t="s">
        <v>133</v>
      </c>
      <c r="G71" s="85" t="s">
        <v>127</v>
      </c>
      <c r="H71" s="238">
        <v>0</v>
      </c>
      <c r="I71" s="175">
        <v>0.41</v>
      </c>
      <c r="J71" s="437">
        <f>IF($H71=1,MROUND(N71*ROUND('CRCP &amp; évolutions'!F$88,4),0.12),ROUND(N71*ROUND('CRCP &amp; évolutions'!F$88,4),2))</f>
        <v>0.43</v>
      </c>
      <c r="K71" s="437">
        <f>IF($H71=1,MROUND(O71*ROUND('CRCP &amp; évolutions'!G$88,4),0.12),ROUND(O71*ROUND('CRCP &amp; évolutions'!G$88,4),2))</f>
        <v>0.49</v>
      </c>
      <c r="L71" s="439">
        <f>IF($H71=1,MROUND(P71*ROUND('CRCP &amp; évolutions'!H$88,4),0.12),ROUND(P71*ROUND('CRCP &amp; évolutions'!H$88,4),2))</f>
        <v>0.52</v>
      </c>
      <c r="M71" s="435"/>
      <c r="N71" s="313">
        <v>0.43159999999999998</v>
      </c>
      <c r="O71" s="175">
        <v>0.46050000000000002</v>
      </c>
      <c r="P71" s="303">
        <v>0.48010000000000003</v>
      </c>
      <c r="Q71" s="214"/>
    </row>
    <row r="72" spans="1:17" ht="16.5" thickBot="1" x14ac:dyDescent="0.35">
      <c r="A72" s="214"/>
      <c r="B72" s="647"/>
      <c r="C72" s="648"/>
      <c r="D72" s="648"/>
      <c r="E72" s="650"/>
      <c r="F72" s="85" t="s">
        <v>134</v>
      </c>
      <c r="G72" s="85" t="s">
        <v>127</v>
      </c>
      <c r="H72" s="238">
        <v>0</v>
      </c>
      <c r="I72" s="175">
        <v>0.21</v>
      </c>
      <c r="J72" s="176">
        <f>IF($H72=1,MROUND(N72*ROUND('CRCP &amp; évolutions'!F$88,4),0.12),ROUND(N72*ROUND('CRCP &amp; évolutions'!F$88,4),2))</f>
        <v>0.27</v>
      </c>
      <c r="K72" s="176">
        <f>IF($H72=1,MROUND(O72*ROUND('CRCP &amp; évolutions'!G$88,4),0.12),ROUND(O72*ROUND('CRCP &amp; évolutions'!G$88,4),2))</f>
        <v>0.35</v>
      </c>
      <c r="L72" s="439">
        <f>IF($H72=1,MROUND(P72*ROUND('CRCP &amp; évolutions'!H$88,4),0.12),ROUND(P72*ROUND('CRCP &amp; évolutions'!H$88,4),2))</f>
        <v>0.44</v>
      </c>
      <c r="M72" s="435"/>
      <c r="N72" s="314">
        <v>0.27100000000000002</v>
      </c>
      <c r="O72" s="216">
        <v>0.33040000000000003</v>
      </c>
      <c r="P72" s="312">
        <v>0.40010000000000001</v>
      </c>
      <c r="Q72" s="305"/>
    </row>
    <row r="73" spans="1:17" ht="15" customHeight="1" x14ac:dyDescent="0.3">
      <c r="A73" s="214"/>
      <c r="B73" s="651" t="s">
        <v>223</v>
      </c>
      <c r="C73" s="670" t="s">
        <v>123</v>
      </c>
      <c r="D73" s="671"/>
      <c r="E73" s="672"/>
      <c r="F73" s="464" t="s">
        <v>37</v>
      </c>
      <c r="G73" s="478" t="s">
        <v>136</v>
      </c>
      <c r="H73" s="479">
        <v>0</v>
      </c>
      <c r="I73" s="465">
        <v>106930.88</v>
      </c>
      <c r="J73" s="556">
        <f>IF($H73=1,MROUND($I73*ROUND('CRCP &amp; évolutions'!F$88,4),0.12),ROUND($I73*ROUND('CRCP &amp; évolutions'!F$88,4),2))</f>
        <v>106920.19</v>
      </c>
      <c r="K73" s="556">
        <f>IF($H73=1,MROUND($I73*ROUND('CRCP &amp; évolutions'!G$88,4),0.12),ROUND($I73*ROUND('CRCP &amp; évolutions'!G$88,4),2))</f>
        <v>114073.86</v>
      </c>
      <c r="L73" s="557">
        <f>IF($H73=1,MROUND($I73*ROUND('CRCP &amp; évolutions'!H$88,4),0.12),ROUND($I73*ROUND('CRCP &amp; évolutions'!H$88,4),2))</f>
        <v>116918.22</v>
      </c>
      <c r="M73" s="435"/>
    </row>
    <row r="74" spans="1:17" ht="15" customHeight="1" x14ac:dyDescent="0.3">
      <c r="A74" s="214"/>
      <c r="B74" s="652"/>
      <c r="C74" s="655"/>
      <c r="D74" s="645"/>
      <c r="E74" s="656"/>
      <c r="F74" s="85" t="s">
        <v>137</v>
      </c>
      <c r="G74" s="93" t="s">
        <v>138</v>
      </c>
      <c r="H74" s="240">
        <v>0</v>
      </c>
      <c r="I74" s="175">
        <v>10135.99</v>
      </c>
      <c r="J74" s="558">
        <f>IF($H74=1,MROUND($I74*ROUND('CRCP &amp; évolutions'!F$88,4),0.12),ROUND($I74*ROUND('CRCP &amp; évolutions'!F$88,4),2))</f>
        <v>10134.98</v>
      </c>
      <c r="K74" s="559">
        <f>IF($H74=1,MROUND($I74*ROUND('CRCP &amp; évolutions'!G$88,4),0.12),ROUND($I74*ROUND('CRCP &amp; évolutions'!G$88,4),2))</f>
        <v>10813.07</v>
      </c>
      <c r="L74" s="560">
        <f>IF($H74=1,MROUND($I74*ROUND('CRCP &amp; évolutions'!H$88,4),0.12),ROUND($I74*ROUND('CRCP &amp; évolutions'!H$88,4),2))</f>
        <v>11082.69</v>
      </c>
      <c r="M74" s="435"/>
    </row>
    <row r="75" spans="1:17" x14ac:dyDescent="0.3">
      <c r="A75" s="214"/>
      <c r="B75" s="652"/>
      <c r="C75" s="655" t="s">
        <v>125</v>
      </c>
      <c r="D75" s="645"/>
      <c r="E75" s="656"/>
      <c r="F75" s="85" t="s">
        <v>37</v>
      </c>
      <c r="G75" s="93" t="s">
        <v>136</v>
      </c>
      <c r="H75" s="240">
        <v>0</v>
      </c>
      <c r="I75" s="175">
        <v>64488.15</v>
      </c>
      <c r="J75" s="558">
        <f>IF($H75=1,MROUND($I75*ROUND('CRCP &amp; évolutions'!F$88,4),0.12),ROUND($I75*ROUND('CRCP &amp; évolutions'!F$88,4),2))</f>
        <v>64481.7</v>
      </c>
      <c r="K75" s="559">
        <f>IF($H75=1,MROUND($I75*ROUND('CRCP &amp; évolutions'!G$88,4),0.12),ROUND($I75*ROUND('CRCP &amp; évolutions'!G$88,4),2))</f>
        <v>68795.960000000006</v>
      </c>
      <c r="L75" s="560">
        <f>IF($H75=1,MROUND($I75*ROUND('CRCP &amp; évolutions'!H$88,4),0.12),ROUND($I75*ROUND('CRCP &amp; évolutions'!H$88,4),2))</f>
        <v>70511.34</v>
      </c>
      <c r="M75" s="435"/>
    </row>
    <row r="76" spans="1:17" ht="31.5" x14ac:dyDescent="0.3">
      <c r="A76" s="214"/>
      <c r="B76" s="652"/>
      <c r="C76" s="655"/>
      <c r="D76" s="645"/>
      <c r="E76" s="656"/>
      <c r="F76" s="85" t="s">
        <v>139</v>
      </c>
      <c r="G76" s="93" t="s">
        <v>138</v>
      </c>
      <c r="H76" s="240">
        <v>0</v>
      </c>
      <c r="I76" s="175">
        <v>6462.01</v>
      </c>
      <c r="J76" s="558">
        <f>IF($H76=1,MROUND($I76*ROUND('CRCP &amp; évolutions'!F$88,4),0.12),ROUND($I76*ROUND('CRCP &amp; évolutions'!F$88,4),2))</f>
        <v>6461.36</v>
      </c>
      <c r="K76" s="559">
        <f>IF($H76=1,MROUND($I76*ROUND('CRCP &amp; évolutions'!G$88,4),0.12),ROUND($I76*ROUND('CRCP &amp; évolutions'!G$88,4),2))</f>
        <v>6893.67</v>
      </c>
      <c r="L76" s="560">
        <f>IF($H76=1,MROUND($I76*ROUND('CRCP &amp; évolutions'!H$88,4),0.12),ROUND($I76*ROUND('CRCP &amp; évolutions'!H$88,4),2))</f>
        <v>7065.56</v>
      </c>
      <c r="M76" s="435"/>
    </row>
    <row r="77" spans="1:17" ht="31.5" x14ac:dyDescent="0.3">
      <c r="A77" s="214"/>
      <c r="B77" s="652"/>
      <c r="C77" s="655"/>
      <c r="D77" s="645"/>
      <c r="E77" s="656"/>
      <c r="F77" s="85" t="s">
        <v>140</v>
      </c>
      <c r="G77" s="93" t="s">
        <v>138</v>
      </c>
      <c r="H77" s="240">
        <v>0</v>
      </c>
      <c r="I77" s="175">
        <v>32308.87</v>
      </c>
      <c r="J77" s="558">
        <f>IF($H77=1,MROUND($I77*ROUND('CRCP &amp; évolutions'!F$88,4),0.12),ROUND($I77*ROUND('CRCP &amp; évolutions'!F$88,4),2))</f>
        <v>32305.64</v>
      </c>
      <c r="K77" s="559">
        <f>IF($H77=1,MROUND($I77*ROUND('CRCP &amp; évolutions'!G$88,4),0.12),ROUND($I77*ROUND('CRCP &amp; évolutions'!G$88,4),2))</f>
        <v>34467.1</v>
      </c>
      <c r="L77" s="560">
        <f>IF($H77=1,MROUND($I77*ROUND('CRCP &amp; évolutions'!H$88,4),0.12),ROUND($I77*ROUND('CRCP &amp; évolutions'!H$88,4),2))</f>
        <v>35326.519999999997</v>
      </c>
      <c r="M77" s="435"/>
    </row>
    <row r="78" spans="1:17" x14ac:dyDescent="0.3">
      <c r="A78" s="214"/>
      <c r="B78" s="652"/>
      <c r="C78" s="655" t="s">
        <v>126</v>
      </c>
      <c r="D78" s="645"/>
      <c r="E78" s="656"/>
      <c r="F78" s="85" t="s">
        <v>37</v>
      </c>
      <c r="G78" s="93" t="s">
        <v>136</v>
      </c>
      <c r="H78" s="240">
        <v>0</v>
      </c>
      <c r="I78" s="175">
        <v>33496.46</v>
      </c>
      <c r="J78" s="561">
        <f>IF($H78=1,MROUND($I78*ROUND('CRCP &amp; évolutions'!F$88,4),0.12),ROUND($I78*ROUND('CRCP &amp; évolutions'!F$88,4),2))</f>
        <v>33493.11</v>
      </c>
      <c r="K78" s="559">
        <f>IF($H78=1,MROUND($I78*ROUND('CRCP &amp; évolutions'!G$88,4),0.12),ROUND($I78*ROUND('CRCP &amp; évolutions'!G$88,4),2))</f>
        <v>35734.019999999997</v>
      </c>
      <c r="L78" s="560">
        <f>IF($H78=1,MROUND($I78*ROUND('CRCP &amp; évolutions'!H$88,4),0.12),ROUND($I78*ROUND('CRCP &amp; évolutions'!H$88,4),2))</f>
        <v>36625.03</v>
      </c>
      <c r="M78" s="435"/>
    </row>
    <row r="79" spans="1:17" ht="31.5" x14ac:dyDescent="0.3">
      <c r="A79" s="214"/>
      <c r="B79" s="652"/>
      <c r="C79" s="655"/>
      <c r="D79" s="645"/>
      <c r="E79" s="656"/>
      <c r="F79" s="85" t="s">
        <v>139</v>
      </c>
      <c r="G79" s="93" t="s">
        <v>138</v>
      </c>
      <c r="H79" s="240">
        <v>0</v>
      </c>
      <c r="I79" s="175">
        <v>3834.42</v>
      </c>
      <c r="J79" s="558">
        <f>IF($H79=1,MROUND($I79*ROUND('CRCP &amp; évolutions'!F$88,4),0.12),ROUND($I79*ROUND('CRCP &amp; évolutions'!F$88,4),2))</f>
        <v>3834.04</v>
      </c>
      <c r="K79" s="559">
        <f>IF($H79=1,MROUND($I79*ROUND('CRCP &amp; évolutions'!G$88,4),0.12),ROUND($I79*ROUND('CRCP &amp; évolutions'!G$88,4),2))</f>
        <v>4090.56</v>
      </c>
      <c r="L79" s="560">
        <f>IF($H79=1,MROUND($I79*ROUND('CRCP &amp; évolutions'!H$88,4),0.12),ROUND($I79*ROUND('CRCP &amp; évolutions'!H$88,4),2))</f>
        <v>4192.55</v>
      </c>
      <c r="M79" s="435"/>
    </row>
    <row r="80" spans="1:17" ht="32.25" thickBot="1" x14ac:dyDescent="0.35">
      <c r="A80" s="214"/>
      <c r="B80" s="652"/>
      <c r="C80" s="655"/>
      <c r="D80" s="645"/>
      <c r="E80" s="656"/>
      <c r="F80" s="85" t="s">
        <v>140</v>
      </c>
      <c r="G80" s="93" t="s">
        <v>138</v>
      </c>
      <c r="H80" s="240">
        <v>0</v>
      </c>
      <c r="I80" s="175">
        <v>7668.84</v>
      </c>
      <c r="J80" s="559">
        <f>IF($H80=1,MROUND($I80*ROUND('CRCP &amp; évolutions'!F$88,4),0.12),ROUND($I80*ROUND('CRCP &amp; évolutions'!F$88,4),2))</f>
        <v>7668.07</v>
      </c>
      <c r="K80" s="559">
        <f>IF($H80=1,MROUND($I80*ROUND('CRCP &amp; évolutions'!G$88,4),0.12),ROUND($I80*ROUND('CRCP &amp; évolutions'!G$88,4),2))</f>
        <v>8181.12</v>
      </c>
      <c r="L80" s="560">
        <f>IF($H80=1,MROUND($I80*ROUND('CRCP &amp; évolutions'!H$88,4),0.12),ROUND($I80*ROUND('CRCP &amp; évolutions'!H$88,4),2))</f>
        <v>8385.11</v>
      </c>
      <c r="M80" s="435"/>
    </row>
    <row r="81" spans="1:19" ht="47.25" customHeight="1" x14ac:dyDescent="0.3">
      <c r="B81" s="657" t="s">
        <v>224</v>
      </c>
      <c r="C81" s="658"/>
      <c r="D81" s="658"/>
      <c r="E81" s="659"/>
      <c r="F81" s="478" t="s">
        <v>125</v>
      </c>
      <c r="G81" s="478" t="s">
        <v>141</v>
      </c>
      <c r="H81" s="479">
        <v>0</v>
      </c>
      <c r="I81" s="465">
        <v>1.55</v>
      </c>
      <c r="J81" s="491">
        <f>IF($H81=1,MROUND($I81*ROUND('CRCP &amp; évolutions'!F$88,4),0.12),ROUND($I81*ROUND('CRCP &amp; évolutions'!F$88,4),2))</f>
        <v>1.55</v>
      </c>
      <c r="K81" s="491">
        <f>IF($H81=1,MROUND($I81*ROUND('CRCP &amp; évolutions'!G$88,4),0.12),ROUND($I81*ROUND('CRCP &amp; évolutions'!G$88,4),2))</f>
        <v>1.65</v>
      </c>
      <c r="L81" s="492">
        <f>IF($H81=1,MROUND($I81*ROUND('CRCP &amp; évolutions'!H$88,4),0.12),ROUND($I81*ROUND('CRCP &amp; évolutions'!H$88,4),2))</f>
        <v>1.69</v>
      </c>
      <c r="M81" s="435"/>
    </row>
    <row r="82" spans="1:19" ht="47.25" customHeight="1" thickBot="1" x14ac:dyDescent="0.35">
      <c r="B82" s="660"/>
      <c r="C82" s="661"/>
      <c r="D82" s="661"/>
      <c r="E82" s="662"/>
      <c r="F82" s="481" t="s">
        <v>126</v>
      </c>
      <c r="G82" s="481" t="s">
        <v>141</v>
      </c>
      <c r="H82" s="482">
        <v>0</v>
      </c>
      <c r="I82" s="470">
        <v>2.98</v>
      </c>
      <c r="J82" s="477">
        <f>IF($H82=1,MROUND($I82*ROUND('CRCP &amp; évolutions'!F$88,4),0.12),ROUND($I82*ROUND('CRCP &amp; évolutions'!F$88,4),2))</f>
        <v>2.98</v>
      </c>
      <c r="K82" s="477">
        <f>IF($H82=1,MROUND($I82*ROUND('CRCP &amp; évolutions'!G$88,4),0.12),ROUND($I82*ROUND('CRCP &amp; évolutions'!G$88,4),2))</f>
        <v>3.18</v>
      </c>
      <c r="L82" s="483">
        <f>IF($H82=1,MROUND($I82*ROUND('CRCP &amp; évolutions'!H$88,4),0.12),ROUND($I82*ROUND('CRCP &amp; évolutions'!H$88,4),2))</f>
        <v>3.26</v>
      </c>
      <c r="M82" s="435"/>
    </row>
    <row r="83" spans="1:19" ht="16.5" customHeight="1" x14ac:dyDescent="0.3">
      <c r="B83" s="695" t="s">
        <v>225</v>
      </c>
      <c r="C83" s="645" t="s">
        <v>123</v>
      </c>
      <c r="D83" s="645"/>
      <c r="E83" s="645" t="s">
        <v>125</v>
      </c>
      <c r="F83" s="463" t="s">
        <v>142</v>
      </c>
      <c r="G83" s="478" t="s">
        <v>130</v>
      </c>
      <c r="H83" s="479">
        <v>0</v>
      </c>
      <c r="I83" s="465">
        <v>7.41</v>
      </c>
      <c r="J83" s="466">
        <f>IF($H83=1,MROUND($I83*ROUND('CRCP &amp; évolutions'!F$88,4),0.12),ROUND($I83*ROUND('CRCP &amp; évolutions'!F$88,4),2))</f>
        <v>7.41</v>
      </c>
      <c r="K83" s="491">
        <f>IF($H83=1,MROUND($I83*ROUND('CRCP &amp; évolutions'!G$88,4),0.12),ROUND($I83*ROUND('CRCP &amp; évolutions'!G$88,4),2))</f>
        <v>7.9</v>
      </c>
      <c r="L83" s="492">
        <f>IF($H83=1,MROUND($I83*ROUND('CRCP &amp; évolutions'!H$88,4),0.12),ROUND($I83*ROUND('CRCP &amp; évolutions'!H$88,4),2))</f>
        <v>8.1</v>
      </c>
      <c r="M83" s="435"/>
    </row>
    <row r="84" spans="1:19" ht="15.75" customHeight="1" x14ac:dyDescent="0.3">
      <c r="B84" s="696"/>
      <c r="C84" s="645"/>
      <c r="D84" s="645"/>
      <c r="E84" s="645"/>
      <c r="F84" s="493" t="s">
        <v>143</v>
      </c>
      <c r="G84" s="93" t="s">
        <v>127</v>
      </c>
      <c r="H84" s="240">
        <v>0</v>
      </c>
      <c r="I84" s="175">
        <v>0.77</v>
      </c>
      <c r="J84" s="176">
        <f>IF($H84=1,MROUND($I84*ROUND('CRCP &amp; évolutions'!F$88,4),0.12),ROUND($I84*ROUND('CRCP &amp; évolutions'!F$88,4),2))</f>
        <v>0.77</v>
      </c>
      <c r="K84" s="459">
        <f>IF($H84=1,MROUND($I84*ROUND('CRCP &amp; évolutions'!G$88,4),0.12),ROUND($I84*ROUND('CRCP &amp; évolutions'!G$88,4),2))</f>
        <v>0.82</v>
      </c>
      <c r="L84" s="480">
        <f>IF($H84=1,MROUND($I84*ROUND('CRCP &amp; évolutions'!H$88,4),0.12),ROUND($I84*ROUND('CRCP &amp; évolutions'!H$88,4),2))</f>
        <v>0.84</v>
      </c>
      <c r="M84" s="435"/>
    </row>
    <row r="85" spans="1:19" ht="15.75" customHeight="1" x14ac:dyDescent="0.3">
      <c r="B85" s="696"/>
      <c r="C85" s="645"/>
      <c r="D85" s="645"/>
      <c r="E85" s="645"/>
      <c r="F85" s="493" t="s">
        <v>144</v>
      </c>
      <c r="G85" s="93" t="s">
        <v>145</v>
      </c>
      <c r="H85" s="240">
        <v>0</v>
      </c>
      <c r="I85" s="175">
        <v>31.39</v>
      </c>
      <c r="J85" s="176">
        <f>IF($H85=1,MROUND($I85*ROUND('CRCP &amp; évolutions'!F$88,4),0.12),ROUND($I85*ROUND('CRCP &amp; évolutions'!F$88,4),2))</f>
        <v>31.39</v>
      </c>
      <c r="K85" s="459">
        <f>IF($H85=1,MROUND($I85*ROUND('CRCP &amp; évolutions'!G$88,4),0.12),ROUND($I85*ROUND('CRCP &amp; évolutions'!G$88,4),2))</f>
        <v>33.49</v>
      </c>
      <c r="L85" s="480">
        <f>IF($H85=1,MROUND($I85*ROUND('CRCP &amp; évolutions'!H$88,4),0.12),ROUND($I85*ROUND('CRCP &amp; évolutions'!H$88,4),2))</f>
        <v>34.32</v>
      </c>
      <c r="M85" s="435"/>
    </row>
    <row r="86" spans="1:19" ht="15" customHeight="1" x14ac:dyDescent="0.3">
      <c r="B86" s="696"/>
      <c r="C86" s="645"/>
      <c r="D86" s="645"/>
      <c r="E86" s="645" t="s">
        <v>126</v>
      </c>
      <c r="F86" s="493" t="s">
        <v>142</v>
      </c>
      <c r="G86" s="93" t="s">
        <v>130</v>
      </c>
      <c r="H86" s="240">
        <v>0</v>
      </c>
      <c r="I86" s="175">
        <v>5.45</v>
      </c>
      <c r="J86" s="176">
        <f>IF($H86=1,MROUND($I86*ROUND('CRCP &amp; évolutions'!F$88,4),0.12),ROUND($I86*ROUND('CRCP &amp; évolutions'!F$88,4),2))</f>
        <v>5.45</v>
      </c>
      <c r="K86" s="459">
        <f>IF($H86=1,MROUND($I86*ROUND('CRCP &amp; évolutions'!G$88,4),0.12),ROUND($I86*ROUND('CRCP &amp; évolutions'!G$88,4),2))</f>
        <v>5.81</v>
      </c>
      <c r="L86" s="480">
        <f>IF($H86=1,MROUND($I86*ROUND('CRCP &amp; évolutions'!H$88,4),0.12),ROUND($I86*ROUND('CRCP &amp; évolutions'!H$88,4),2))</f>
        <v>5.96</v>
      </c>
      <c r="M86" s="435"/>
    </row>
    <row r="87" spans="1:19" ht="15" customHeight="1" x14ac:dyDescent="0.3">
      <c r="B87" s="696"/>
      <c r="C87" s="645"/>
      <c r="D87" s="645"/>
      <c r="E87" s="645"/>
      <c r="F87" s="493" t="s">
        <v>143</v>
      </c>
      <c r="G87" s="93" t="s">
        <v>127</v>
      </c>
      <c r="H87" s="240">
        <v>0</v>
      </c>
      <c r="I87" s="175">
        <v>1.31</v>
      </c>
      <c r="J87" s="176">
        <f>IF($H87=1,MROUND($I87*ROUND('CRCP &amp; évolutions'!F$88,4),0.12),ROUND($I87*ROUND('CRCP &amp; évolutions'!F$88,4),2))</f>
        <v>1.31</v>
      </c>
      <c r="K87" s="459">
        <f>IF($H87=1,MROUND($I87*ROUND('CRCP &amp; évolutions'!G$88,4),0.12),ROUND($I87*ROUND('CRCP &amp; évolutions'!G$88,4),2))</f>
        <v>1.4</v>
      </c>
      <c r="L87" s="480">
        <f>IF($H87=1,MROUND($I87*ROUND('CRCP &amp; évolutions'!H$88,4),0.12),ROUND($I87*ROUND('CRCP &amp; évolutions'!H$88,4),2))</f>
        <v>1.43</v>
      </c>
      <c r="M87" s="435"/>
    </row>
    <row r="88" spans="1:19" ht="15" customHeight="1" x14ac:dyDescent="0.3">
      <c r="B88" s="696"/>
      <c r="C88" s="645"/>
      <c r="D88" s="645"/>
      <c r="E88" s="645"/>
      <c r="F88" s="493" t="s">
        <v>144</v>
      </c>
      <c r="G88" s="93" t="s">
        <v>145</v>
      </c>
      <c r="H88" s="240">
        <v>0</v>
      </c>
      <c r="I88" s="175">
        <v>23.25</v>
      </c>
      <c r="J88" s="176">
        <f>IF($H88=1,MROUND($I88*ROUND('CRCP &amp; évolutions'!F$88,4),0.12),ROUND($I88*ROUND('CRCP &amp; évolutions'!F$88,4),2))</f>
        <v>23.25</v>
      </c>
      <c r="K88" s="459">
        <f>IF($H88=1,MROUND($I88*ROUND('CRCP &amp; évolutions'!G$88,4),0.12),ROUND($I88*ROUND('CRCP &amp; évolutions'!G$88,4),2))</f>
        <v>24.8</v>
      </c>
      <c r="L88" s="480">
        <f>IF($H88=1,MROUND($I88*ROUND('CRCP &amp; évolutions'!H$88,4),0.12),ROUND($I88*ROUND('CRCP &amp; évolutions'!H$88,4),2))</f>
        <v>25.42</v>
      </c>
      <c r="M88" s="435"/>
    </row>
    <row r="89" spans="1:19" x14ac:dyDescent="0.3">
      <c r="B89" s="696"/>
      <c r="C89" s="645" t="s">
        <v>125</v>
      </c>
      <c r="D89" s="645"/>
      <c r="E89" s="645" t="s">
        <v>126</v>
      </c>
      <c r="F89" s="493" t="s">
        <v>142</v>
      </c>
      <c r="G89" s="93" t="s">
        <v>130</v>
      </c>
      <c r="H89" s="240">
        <v>0</v>
      </c>
      <c r="I89" s="175">
        <v>1.59</v>
      </c>
      <c r="J89" s="176">
        <f>IF($H89=1,MROUND($I89*ROUND('CRCP &amp; évolutions'!F$88,4),0.12),ROUND($I89*ROUND('CRCP &amp; évolutions'!F$88,4),2))</f>
        <v>1.59</v>
      </c>
      <c r="K89" s="459">
        <f>IF($H89=1,MROUND($I89*ROUND('CRCP &amp; évolutions'!G$88,4),0.12),ROUND($I89*ROUND('CRCP &amp; évolutions'!G$88,4),2))</f>
        <v>1.7</v>
      </c>
      <c r="L89" s="480">
        <f>IF($H89=1,MROUND($I89*ROUND('CRCP &amp; évolutions'!H$88,4),0.12),ROUND($I89*ROUND('CRCP &amp; évolutions'!H$88,4),2))</f>
        <v>1.74</v>
      </c>
      <c r="M89" s="435"/>
    </row>
    <row r="90" spans="1:19" ht="16.5" customHeight="1" x14ac:dyDescent="0.3">
      <c r="B90" s="696"/>
      <c r="C90" s="645"/>
      <c r="D90" s="645"/>
      <c r="E90" s="645"/>
      <c r="F90" s="493" t="s">
        <v>143</v>
      </c>
      <c r="G90" s="93" t="s">
        <v>127</v>
      </c>
      <c r="H90" s="240">
        <v>0</v>
      </c>
      <c r="I90" s="175">
        <v>1.31</v>
      </c>
      <c r="J90" s="176">
        <f>IF($H90=1,MROUND($I90*ROUND('CRCP &amp; évolutions'!F$88,4),0.12),ROUND($I90*ROUND('CRCP &amp; évolutions'!F$88,4),2))</f>
        <v>1.31</v>
      </c>
      <c r="K90" s="459">
        <f>IF($H90=1,MROUND($I90*ROUND('CRCP &amp; évolutions'!G$88,4),0.12),ROUND($I90*ROUND('CRCP &amp; évolutions'!G$88,4),2))</f>
        <v>1.4</v>
      </c>
      <c r="L90" s="480">
        <f>IF($H90=1,MROUND($I90*ROUND('CRCP &amp; évolutions'!H$88,4),0.12),ROUND($I90*ROUND('CRCP &amp; évolutions'!H$88,4),2))</f>
        <v>1.43</v>
      </c>
      <c r="M90" s="435"/>
    </row>
    <row r="91" spans="1:19" ht="15.75" customHeight="1" thickBot="1" x14ac:dyDescent="0.35">
      <c r="B91" s="697"/>
      <c r="C91" s="645"/>
      <c r="D91" s="645"/>
      <c r="E91" s="645"/>
      <c r="F91" s="467" t="s">
        <v>144</v>
      </c>
      <c r="G91" s="468" t="s">
        <v>145</v>
      </c>
      <c r="H91" s="469">
        <v>0</v>
      </c>
      <c r="I91" s="470">
        <v>6.98</v>
      </c>
      <c r="J91" s="477">
        <f>IF($H91=1,MROUND($I91*ROUND('CRCP &amp; évolutions'!F$88,4),0.12),ROUND($I91*ROUND('CRCP &amp; évolutions'!F$88,4),2))</f>
        <v>6.98</v>
      </c>
      <c r="K91" s="477">
        <f>IF($H91=1,MROUND($I91*ROUND('CRCP &amp; évolutions'!G$88,4),0.12),ROUND($I91*ROUND('CRCP &amp; évolutions'!G$88,4),2))</f>
        <v>7.45</v>
      </c>
      <c r="L91" s="483">
        <f>IF($H91=1,MROUND($I91*ROUND('CRCP &amp; évolutions'!H$88,4),0.12),ROUND($I91*ROUND('CRCP &amp; évolutions'!H$88,4),2))</f>
        <v>7.63</v>
      </c>
      <c r="M91" s="435"/>
    </row>
    <row r="92" spans="1:19" x14ac:dyDescent="0.3">
      <c r="A92" s="214"/>
      <c r="B92" s="652" t="s">
        <v>226</v>
      </c>
      <c r="C92" s="700" t="s">
        <v>123</v>
      </c>
      <c r="D92" s="701"/>
      <c r="E92" s="702"/>
      <c r="F92" s="464" t="s">
        <v>146</v>
      </c>
      <c r="G92" s="489" t="s">
        <v>147</v>
      </c>
      <c r="H92" s="490">
        <v>0</v>
      </c>
      <c r="I92" s="465">
        <v>5.81</v>
      </c>
      <c r="J92" s="491">
        <f>IF($H92=1,MROUND($I92*ROUND('CRCP &amp; évolutions'!F$88,4),0.12),ROUND($I92*ROUND('CRCP &amp; évolutions'!F$88,4),2))</f>
        <v>5.81</v>
      </c>
      <c r="K92" s="491">
        <f>IF($H92=1,MROUND($I92*ROUND('CRCP &amp; évolutions'!G$88,4),0.12),ROUND($I92*ROUND('CRCP &amp; évolutions'!G$88,4),2))</f>
        <v>6.2</v>
      </c>
      <c r="L92" s="492">
        <f>IF($H92=1,MROUND($I92*ROUND('CRCP &amp; évolutions'!H$88,4),0.12),ROUND($I92*ROUND('CRCP &amp; évolutions'!H$88,4),2))</f>
        <v>6.35</v>
      </c>
      <c r="M92" s="435"/>
    </row>
    <row r="93" spans="1:19" ht="31.5" customHeight="1" x14ac:dyDescent="0.3">
      <c r="A93" s="214"/>
      <c r="B93" s="698"/>
      <c r="C93" s="703" t="s">
        <v>125</v>
      </c>
      <c r="D93" s="648"/>
      <c r="E93" s="704"/>
      <c r="F93" s="85" t="s">
        <v>148</v>
      </c>
      <c r="G93" s="93" t="s">
        <v>147</v>
      </c>
      <c r="H93" s="240">
        <v>0</v>
      </c>
      <c r="I93" s="175">
        <v>15.12</v>
      </c>
      <c r="J93" s="176">
        <f>IF($H93=1,MROUND($I93*ROUND('CRCP &amp; évolutions'!F$88,4),0.12),ROUND($I93*ROUND('CRCP &amp; évolutions'!F$88,4),2))</f>
        <v>15.12</v>
      </c>
      <c r="K93" s="459">
        <f>IF($H93=1,MROUND($I93*ROUND('CRCP &amp; évolutions'!G$88,4),0.12),ROUND($I93*ROUND('CRCP &amp; évolutions'!G$88,4),2))</f>
        <v>16.13</v>
      </c>
      <c r="L93" s="480">
        <f>IF($H93=1,MROUND($I93*ROUND('CRCP &amp; évolutions'!H$88,4),0.12),ROUND($I93*ROUND('CRCP &amp; évolutions'!H$88,4),2))</f>
        <v>16.53</v>
      </c>
      <c r="M93" s="435"/>
    </row>
    <row r="94" spans="1:19" ht="31.5" x14ac:dyDescent="0.3">
      <c r="A94" s="214"/>
      <c r="B94" s="698"/>
      <c r="C94" s="703"/>
      <c r="D94" s="648"/>
      <c r="E94" s="704"/>
      <c r="F94" s="85" t="s">
        <v>149</v>
      </c>
      <c r="G94" s="93" t="s">
        <v>147</v>
      </c>
      <c r="H94" s="240">
        <v>0</v>
      </c>
      <c r="I94" s="175">
        <v>58.12</v>
      </c>
      <c r="J94" s="176">
        <f>IF($H94=1,MROUND($I94*ROUND('CRCP &amp; évolutions'!F$88,4),0.12),ROUND($I94*ROUND('CRCP &amp; évolutions'!F$88,4),2))</f>
        <v>58.11</v>
      </c>
      <c r="K94" s="459">
        <f>IF($H94=1,MROUND($I94*ROUND('CRCP &amp; évolutions'!G$88,4),0.12),ROUND($I94*ROUND('CRCP &amp; évolutions'!G$88,4),2))</f>
        <v>62</v>
      </c>
      <c r="L94" s="480">
        <f>IF($H94=1,MROUND($I94*ROUND('CRCP &amp; évolutions'!H$88,4),0.12),ROUND($I94*ROUND('CRCP &amp; évolutions'!H$88,4),2))</f>
        <v>63.55</v>
      </c>
      <c r="M94" s="435"/>
    </row>
    <row r="95" spans="1:19" ht="31.5" x14ac:dyDescent="0.3">
      <c r="A95" s="214"/>
      <c r="B95" s="698"/>
      <c r="C95" s="703" t="s">
        <v>126</v>
      </c>
      <c r="D95" s="648"/>
      <c r="E95" s="704"/>
      <c r="F95" s="85" t="s">
        <v>148</v>
      </c>
      <c r="G95" s="93" t="s">
        <v>147</v>
      </c>
      <c r="H95" s="240">
        <v>0</v>
      </c>
      <c r="I95" s="175">
        <v>76.73</v>
      </c>
      <c r="J95" s="176">
        <f>IF($H95=1,MROUND($I95*ROUND('CRCP &amp; évolutions'!F$88,4),0.12),ROUND($I95*ROUND('CRCP &amp; évolutions'!F$88,4),2))</f>
        <v>76.72</v>
      </c>
      <c r="K95" s="459">
        <f>IF($H95=1,MROUND($I95*ROUND('CRCP &amp; évolutions'!G$88,4),0.12),ROUND($I95*ROUND('CRCP &amp; évolutions'!G$88,4),2))</f>
        <v>81.86</v>
      </c>
      <c r="L95" s="480">
        <f>IF($H95=1,MROUND($I95*ROUND('CRCP &amp; évolutions'!H$88,4),0.12),ROUND($I95*ROUND('CRCP &amp; évolutions'!H$88,4),2))</f>
        <v>83.9</v>
      </c>
      <c r="M95" s="435"/>
    </row>
    <row r="96" spans="1:19" ht="32.25" thickBot="1" x14ac:dyDescent="0.35">
      <c r="A96" s="214"/>
      <c r="B96" s="699"/>
      <c r="C96" s="705"/>
      <c r="D96" s="683"/>
      <c r="E96" s="706"/>
      <c r="F96" s="85" t="s">
        <v>149</v>
      </c>
      <c r="G96" s="93" t="s">
        <v>147</v>
      </c>
      <c r="H96" s="240">
        <v>0</v>
      </c>
      <c r="I96" s="175">
        <v>134.86000000000001</v>
      </c>
      <c r="J96" s="176">
        <f>IF($H96=1,MROUND($I96*ROUND('CRCP &amp; évolutions'!F$88,4),0.12),ROUND($I96*ROUND('CRCP &amp; évolutions'!F$88,4),2))</f>
        <v>134.85</v>
      </c>
      <c r="K96" s="459">
        <f>IF($H96=1,MROUND($I96*ROUND('CRCP &amp; évolutions'!G$88,4),0.12),ROUND($I96*ROUND('CRCP &amp; évolutions'!G$88,4),2))</f>
        <v>143.87</v>
      </c>
      <c r="L96" s="480">
        <f>IF($H96=1,MROUND($I96*ROUND('CRCP &amp; évolutions'!H$88,4),0.12),ROUND($I96*ROUND('CRCP &amp; évolutions'!H$88,4),2))</f>
        <v>147.46</v>
      </c>
      <c r="M96" s="435"/>
      <c r="Q96" s="85"/>
      <c r="S96" s="198"/>
    </row>
    <row r="97" spans="1:20" ht="31.5" customHeight="1" x14ac:dyDescent="0.3">
      <c r="A97" s="214"/>
      <c r="B97" s="646" t="s">
        <v>227</v>
      </c>
      <c r="C97" s="648" t="s">
        <v>125</v>
      </c>
      <c r="D97" s="648"/>
      <c r="E97" s="93" t="s">
        <v>123</v>
      </c>
      <c r="F97" s="495" t="s">
        <v>146</v>
      </c>
      <c r="G97" s="478" t="s">
        <v>130</v>
      </c>
      <c r="H97" s="479">
        <v>0</v>
      </c>
      <c r="I97" s="465">
        <v>1.82</v>
      </c>
      <c r="J97" s="466">
        <f>IF($H97=1,MROUND($I97*ROUND('CRCP &amp; évolutions'!F$88,4),0.12),ROUND($I97*ROUND('CRCP &amp; évolutions'!F$88,4),2))</f>
        <v>1.82</v>
      </c>
      <c r="K97" s="491">
        <f>IF($H97=1,MROUND($I97*ROUND('CRCP &amp; évolutions'!G$88,4),0.12),ROUND($I97*ROUND('CRCP &amp; évolutions'!G$88,4),2))</f>
        <v>1.94</v>
      </c>
      <c r="L97" s="492">
        <f>IF($H97=1,MROUND($I97*ROUND('CRCP &amp; évolutions'!H$88,4),0.12),ROUND($I97*ROUND('CRCP &amp; évolutions'!H$88,4),2))</f>
        <v>1.99</v>
      </c>
      <c r="M97" s="435"/>
    </row>
    <row r="98" spans="1:20" ht="31.5" customHeight="1" x14ac:dyDescent="0.3">
      <c r="A98" s="214"/>
      <c r="B98" s="693"/>
      <c r="C98" s="648" t="s">
        <v>150</v>
      </c>
      <c r="D98" s="648"/>
      <c r="E98" s="93" t="s">
        <v>125</v>
      </c>
      <c r="F98" s="496" t="s">
        <v>146</v>
      </c>
      <c r="G98" s="93" t="s">
        <v>130</v>
      </c>
      <c r="H98" s="240">
        <v>0</v>
      </c>
      <c r="I98" s="175">
        <v>3.91</v>
      </c>
      <c r="J98" s="176">
        <f>IF($H98=1,MROUND($I98*ROUND('CRCP &amp; évolutions'!F$88,4),0.12),ROUND($I98*ROUND('CRCP &amp; évolutions'!F$88,4),2))</f>
        <v>3.91</v>
      </c>
      <c r="K98" s="459">
        <f>IF($H98=1,MROUND($I98*ROUND('CRCP &amp; évolutions'!G$88,4),0.12),ROUND($I98*ROUND('CRCP &amp; évolutions'!G$88,4),2))</f>
        <v>4.17</v>
      </c>
      <c r="L98" s="480">
        <f>IF($H98=1,MROUND($I98*ROUND('CRCP &amp; évolutions'!H$88,4),0.12),ROUND($I98*ROUND('CRCP &amp; évolutions'!H$88,4),2))</f>
        <v>4.28</v>
      </c>
      <c r="M98" s="435"/>
    </row>
    <row r="99" spans="1:20" ht="31.5" customHeight="1" thickBot="1" x14ac:dyDescent="0.35">
      <c r="A99" s="214"/>
      <c r="B99" s="694"/>
      <c r="C99" s="649" t="s">
        <v>151</v>
      </c>
      <c r="D99" s="649"/>
      <c r="E99" s="444" t="s">
        <v>126</v>
      </c>
      <c r="F99" s="497" t="s">
        <v>146</v>
      </c>
      <c r="G99" s="481" t="s">
        <v>130</v>
      </c>
      <c r="H99" s="482">
        <v>0</v>
      </c>
      <c r="I99" s="470">
        <v>6.91</v>
      </c>
      <c r="J99" s="471">
        <f>IF($H99=1,MROUND($I99*ROUND('CRCP &amp; évolutions'!F$88,4),0.12),ROUND($I99*ROUND('CRCP &amp; évolutions'!F$88,4),2))</f>
        <v>6.91</v>
      </c>
      <c r="K99" s="477">
        <f>IF($H99=1,MROUND($I99*ROUND('CRCP &amp; évolutions'!G$88,4),0.12),ROUND($I99*ROUND('CRCP &amp; évolutions'!G$88,4),2))</f>
        <v>7.37</v>
      </c>
      <c r="L99" s="483">
        <f>IF($H99=1,MROUND($I99*ROUND('CRCP &amp; évolutions'!H$88,4),0.12),ROUND($I99*ROUND('CRCP &amp; évolutions'!H$88,4),2))</f>
        <v>7.56</v>
      </c>
      <c r="M99" s="435"/>
    </row>
    <row r="100" spans="1:20" s="197" customFormat="1" ht="47.25" customHeight="1" x14ac:dyDescent="0.3">
      <c r="A100" s="215"/>
      <c r="B100" s="646" t="s">
        <v>228</v>
      </c>
      <c r="C100" s="648" t="s">
        <v>125</v>
      </c>
      <c r="D100" s="648"/>
      <c r="E100" s="650"/>
      <c r="F100" s="221" t="s">
        <v>144</v>
      </c>
      <c r="G100" s="93" t="s">
        <v>152</v>
      </c>
      <c r="H100" s="240">
        <v>0</v>
      </c>
      <c r="I100" s="308">
        <v>1.43E-2</v>
      </c>
      <c r="J100" s="440">
        <f>IF($H100=1,MROUND($I100*ROUND('CRCP &amp; évolutions'!F$88,4),0.12),ROUND($I100*ROUND('CRCP &amp; évolutions'!F$88,4),4))</f>
        <v>1.43E-2</v>
      </c>
      <c r="K100" s="494">
        <f>J100</f>
        <v>1.43E-2</v>
      </c>
      <c r="L100" s="441">
        <f>IF($H100=1,MROUND($I100*ROUND('CRCP &amp; évolutions'!H$88,4),0.12),ROUND($I100*ROUND('CRCP &amp; évolutions'!H$88,4),4))</f>
        <v>1.5599999999999999E-2</v>
      </c>
      <c r="M100" s="435"/>
    </row>
    <row r="101" spans="1:20" s="197" customFormat="1" ht="47.25" customHeight="1" thickBot="1" x14ac:dyDescent="0.35">
      <c r="A101" s="215"/>
      <c r="B101" s="647"/>
      <c r="C101" s="648" t="s">
        <v>126</v>
      </c>
      <c r="D101" s="648"/>
      <c r="E101" s="650"/>
      <c r="F101" s="85" t="s">
        <v>144</v>
      </c>
      <c r="G101" s="93" t="s">
        <v>152</v>
      </c>
      <c r="H101" s="240">
        <v>0</v>
      </c>
      <c r="I101" s="308">
        <v>8.9999999999999993E-3</v>
      </c>
      <c r="J101" s="440">
        <f>IF($H101=1,MROUND($I101*ROUND('CRCP &amp; évolutions'!F$88,4),0.12),ROUND($I101*ROUND('CRCP &amp; évolutions'!F$88,4),4))</f>
        <v>8.9999999999999993E-3</v>
      </c>
      <c r="K101" s="395">
        <f>J101</f>
        <v>8.9999999999999993E-3</v>
      </c>
      <c r="L101" s="441">
        <f>IF($H101=1,MROUND($I101*ROUND('CRCP &amp; évolutions'!H$88,4),0.12),ROUND($I101*ROUND('CRCP &amp; évolutions'!H$88,4),4))</f>
        <v>9.7999999999999997E-3</v>
      </c>
      <c r="M101" s="435"/>
    </row>
    <row r="102" spans="1:20" ht="27.75" customHeight="1" x14ac:dyDescent="0.3">
      <c r="A102" s="214"/>
      <c r="B102" s="651" t="s">
        <v>261</v>
      </c>
      <c r="C102" s="653" t="s">
        <v>262</v>
      </c>
      <c r="D102" s="654"/>
      <c r="E102" s="654"/>
      <c r="F102" s="654"/>
      <c r="G102" s="484" t="s">
        <v>154</v>
      </c>
      <c r="H102" s="485">
        <v>0</v>
      </c>
      <c r="I102" s="486">
        <v>10.3</v>
      </c>
      <c r="J102" s="223">
        <f>IF($H102=1,MROUND($I102*ROUND('CRCP &amp; évolutions'!F$88,4),0.12),ROUND($I102*ROUND('CRCP &amp; évolutions'!F$88,4),2))</f>
        <v>10.3</v>
      </c>
      <c r="K102" s="461">
        <f>IF($H102=1,MROUND($I102*ROUND('CRCP &amp; évolutions'!G$88,4),0.12),ROUND($I102*ROUND('CRCP &amp; évolutions'!G$88,4),2))</f>
        <v>10.99</v>
      </c>
      <c r="L102" s="462">
        <f>IF($H102=1,MROUND($I102*ROUND('CRCP &amp; évolutions'!H$88,4),0.12),ROUND($I102*ROUND('CRCP &amp; évolutions'!H$88,4),2))</f>
        <v>11.26</v>
      </c>
      <c r="M102" s="435"/>
    </row>
    <row r="103" spans="1:20" ht="27.75" customHeight="1" thickBot="1" x14ac:dyDescent="0.35">
      <c r="A103" s="214"/>
      <c r="B103" s="652"/>
      <c r="C103" s="644" t="s">
        <v>263</v>
      </c>
      <c r="D103" s="645"/>
      <c r="E103" s="645"/>
      <c r="F103" s="645"/>
      <c r="G103" s="93" t="s">
        <v>154</v>
      </c>
      <c r="H103" s="487">
        <v>0</v>
      </c>
      <c r="I103" s="488">
        <v>0.9</v>
      </c>
      <c r="J103" s="176">
        <f>IF($H103=1,MROUND($I103*ROUND('CRCP &amp; évolutions'!F$88,4),0.12),ROUND($I103*ROUND('CRCP &amp; évolutions'!F$88,4),2))</f>
        <v>0.9</v>
      </c>
      <c r="K103" s="459">
        <f>IF($H103=1,MROUND($I103*ROUND('CRCP &amp; évolutions'!G$88,4),0.12),ROUND($I103*ROUND('CRCP &amp; évolutions'!G$88,4),2))</f>
        <v>0.96</v>
      </c>
      <c r="L103" s="394">
        <f>IF($H103=1,MROUND($I103*ROUND('CRCP &amp; évolutions'!H$88,4),0.12),ROUND($I103*ROUND('CRCP &amp; évolutions'!H$88,4),2))</f>
        <v>0.98</v>
      </c>
      <c r="M103" s="435"/>
    </row>
    <row r="104" spans="1:20" ht="25.5" customHeight="1" x14ac:dyDescent="0.3">
      <c r="A104" s="214"/>
      <c r="B104" s="646" t="s">
        <v>229</v>
      </c>
      <c r="C104" s="648" t="s">
        <v>153</v>
      </c>
      <c r="D104" s="648"/>
      <c r="E104" s="648"/>
      <c r="F104" s="648"/>
      <c r="G104" s="93" t="s">
        <v>154</v>
      </c>
      <c r="H104" s="240">
        <v>0</v>
      </c>
      <c r="I104" s="175">
        <v>3.05</v>
      </c>
      <c r="J104" s="176">
        <f>IF($H104=1,MROUND($I104*ROUND('CRCP &amp; évolutions'!F$88,4),0.12),ROUND($I104*ROUND('CRCP &amp; évolutions'!F$88,4),2))</f>
        <v>3.05</v>
      </c>
      <c r="K104" s="393">
        <f>IF($H104=1,MROUND($I104*ROUND('CRCP &amp; évolutions'!G$88,4),0.12),ROUND($I104*ROUND('CRCP &amp; évolutions'!G$88,4),2))</f>
        <v>3.25</v>
      </c>
      <c r="L104" s="394">
        <f>IF($H104=1,MROUND($I104*ROUND('CRCP &amp; évolutions'!H$88,4),0.12),ROUND($I104*ROUND('CRCP &amp; évolutions'!H$88,4),2))</f>
        <v>3.33</v>
      </c>
      <c r="M104" s="435"/>
    </row>
    <row r="105" spans="1:20" ht="34.5" customHeight="1" thickBot="1" x14ac:dyDescent="0.35">
      <c r="A105" s="214"/>
      <c r="B105" s="647"/>
      <c r="C105" s="649" t="s">
        <v>155</v>
      </c>
      <c r="D105" s="649"/>
      <c r="E105" s="649"/>
      <c r="F105" s="649"/>
      <c r="G105" s="93" t="s">
        <v>154</v>
      </c>
      <c r="H105" s="240">
        <v>0</v>
      </c>
      <c r="I105" s="175">
        <v>0.53</v>
      </c>
      <c r="J105" s="176">
        <f>IF($H105=1,MROUND($I105*ROUND('CRCP &amp; évolutions'!F$88,4),0.12),ROUND($I105*ROUND('CRCP &amp; évolutions'!F$88,4),2))</f>
        <v>0.53</v>
      </c>
      <c r="K105" s="393">
        <f>IF($H105=1,MROUND($I105*ROUND('CRCP &amp; évolutions'!G$88,4),0.12),ROUND($I105*ROUND('CRCP &amp; évolutions'!G$88,4),2))</f>
        <v>0.56999999999999995</v>
      </c>
      <c r="L105" s="394">
        <f>IF($H105=1,MROUND($I105*ROUND('CRCP &amp; évolutions'!H$88,4),0.12),ROUND($I105*ROUND('CRCP &amp; évolutions'!H$88,4),2))</f>
        <v>0.57999999999999996</v>
      </c>
      <c r="M105" s="435"/>
    </row>
    <row r="106" spans="1:20" x14ac:dyDescent="0.3">
      <c r="F106" s="70"/>
      <c r="G106" s="329"/>
      <c r="H106" s="329"/>
      <c r="I106" s="329"/>
      <c r="J106" s="329"/>
      <c r="K106" s="329"/>
      <c r="L106" s="304"/>
    </row>
    <row r="107" spans="1:20" x14ac:dyDescent="0.3">
      <c r="F107" s="70"/>
      <c r="I107" s="70"/>
      <c r="J107" s="70"/>
      <c r="K107" s="70"/>
      <c r="L107" s="70"/>
    </row>
    <row r="108" spans="1:20" ht="31.5" customHeight="1" x14ac:dyDescent="0.3">
      <c r="F108" s="70"/>
      <c r="I108" s="70"/>
      <c r="J108" s="70"/>
      <c r="K108" s="70"/>
      <c r="L108" s="70"/>
    </row>
    <row r="109" spans="1:20" ht="31.5" customHeight="1" x14ac:dyDescent="0.3">
      <c r="F109" s="70"/>
      <c r="I109" s="196"/>
      <c r="J109" s="70"/>
      <c r="K109" s="70"/>
      <c r="L109" s="70"/>
    </row>
    <row r="110" spans="1:20" ht="31.5" customHeight="1" x14ac:dyDescent="0.3">
      <c r="F110" s="70"/>
      <c r="I110" s="173"/>
      <c r="J110" s="70"/>
      <c r="K110" s="70"/>
      <c r="L110" s="70"/>
    </row>
    <row r="111" spans="1:20" ht="31.5" customHeight="1" x14ac:dyDescent="0.3">
      <c r="T111" s="173"/>
    </row>
    <row r="112" spans="1:20" ht="31.5" customHeight="1" x14ac:dyDescent="0.3">
      <c r="T112" s="173"/>
    </row>
  </sheetData>
  <mergeCells count="54">
    <mergeCell ref="N10:Q10"/>
    <mergeCell ref="B6:E6"/>
    <mergeCell ref="D7:E7"/>
    <mergeCell ref="D8:E8"/>
    <mergeCell ref="B97:B99"/>
    <mergeCell ref="C97:D97"/>
    <mergeCell ref="C98:D98"/>
    <mergeCell ref="C99:D99"/>
    <mergeCell ref="B83:B91"/>
    <mergeCell ref="B92:B96"/>
    <mergeCell ref="C92:E92"/>
    <mergeCell ref="C93:E94"/>
    <mergeCell ref="C95:E96"/>
    <mergeCell ref="B23:B32"/>
    <mergeCell ref="C23:E27"/>
    <mergeCell ref="C28:E32"/>
    <mergeCell ref="I4:L4"/>
    <mergeCell ref="B73:B80"/>
    <mergeCell ref="B63:B72"/>
    <mergeCell ref="B43:B52"/>
    <mergeCell ref="B53:B62"/>
    <mergeCell ref="B7:B8"/>
    <mergeCell ref="B13:B22"/>
    <mergeCell ref="C43:E47"/>
    <mergeCell ref="C48:E52"/>
    <mergeCell ref="C53:E57"/>
    <mergeCell ref="C58:E62"/>
    <mergeCell ref="C63:E67"/>
    <mergeCell ref="B9:E11"/>
    <mergeCell ref="B12:E12"/>
    <mergeCell ref="C13:E17"/>
    <mergeCell ref="C18:E22"/>
    <mergeCell ref="C75:E77"/>
    <mergeCell ref="C78:E80"/>
    <mergeCell ref="B81:E82"/>
    <mergeCell ref="B33:B42"/>
    <mergeCell ref="C33:E37"/>
    <mergeCell ref="C38:E42"/>
    <mergeCell ref="C68:E72"/>
    <mergeCell ref="C73:E74"/>
    <mergeCell ref="C83:D88"/>
    <mergeCell ref="C89:D91"/>
    <mergeCell ref="E83:E85"/>
    <mergeCell ref="E86:E88"/>
    <mergeCell ref="E89:E91"/>
    <mergeCell ref="C103:F103"/>
    <mergeCell ref="B104:B105"/>
    <mergeCell ref="C104:F104"/>
    <mergeCell ref="C105:F105"/>
    <mergeCell ref="B100:B101"/>
    <mergeCell ref="C100:E100"/>
    <mergeCell ref="C101:E101"/>
    <mergeCell ref="B102:B103"/>
    <mergeCell ref="C102:F102"/>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C0FBC8AD-B358-4C46-AA16-B739B93A576F}">
            <xm:f>'CRCP &amp; évolutions'!$E$2=2017</xm:f>
            <x14:dxf>
              <fill>
                <patternFill patternType="lightUp">
                  <fgColor theme="0" tint="-0.34998626667073579"/>
                </patternFill>
              </fill>
            </x14:dxf>
          </x14:cfRule>
          <xm:sqref>J6:L110</xm:sqref>
        </x14:conditionalFormatting>
        <x14:conditionalFormatting xmlns:xm="http://schemas.microsoft.com/office/excel/2006/main">
          <x14:cfRule type="expression" priority="2" id="{97F2C97A-104E-49A3-A3DB-EAAE68AC9567}">
            <xm:f>'CRCP &amp; évolutions'!$E$2=2018</xm:f>
            <x14:dxf>
              <fill>
                <patternFill patternType="lightUp">
                  <fgColor theme="0" tint="-0.34998626667073579"/>
                </patternFill>
              </fill>
            </x14:dxf>
          </x14:cfRule>
          <xm:sqref>K6:L110</xm:sqref>
        </x14:conditionalFormatting>
        <x14:conditionalFormatting xmlns:xm="http://schemas.microsoft.com/office/excel/2006/main">
          <x14:cfRule type="expression" priority="1" id="{55FF57B5-5A41-4398-ACAA-5DCCFC4FAE75}">
            <xm:f>'CRCP &amp; évolutions'!$E$2=2019</xm:f>
            <x14:dxf>
              <fill>
                <patternFill patternType="lightUp">
                  <fgColor theme="0" tint="-0.34998626667073579"/>
                </patternFill>
              </fill>
            </x14:dxf>
          </x14:cfRule>
          <xm:sqref>L6:L110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sheetPr>
  <dimension ref="A1:E35"/>
  <sheetViews>
    <sheetView zoomScaleNormal="100" workbookViewId="0">
      <pane xSplit="1" ySplit="2" topLeftCell="B3" activePane="bottomRight" state="frozen"/>
      <selection pane="topRight" activeCell="B1" sqref="B1"/>
      <selection pane="bottomLeft" activeCell="A3" sqref="A3"/>
      <selection pane="bottomRight" activeCell="D11" sqref="D11"/>
    </sheetView>
  </sheetViews>
  <sheetFormatPr baseColWidth="10" defaultColWidth="9.140625" defaultRowHeight="15" x14ac:dyDescent="0.25"/>
  <cols>
    <col min="1" max="1" width="17.7109375" customWidth="1"/>
    <col min="2" max="2" width="4.28515625" customWidth="1"/>
    <col min="3" max="3" width="27" customWidth="1"/>
    <col min="4" max="4" width="23.7109375" customWidth="1"/>
    <col min="5" max="5" width="8.28515625" customWidth="1"/>
    <col min="6" max="6" width="7.85546875" customWidth="1"/>
  </cols>
  <sheetData>
    <row r="1" spans="1:5" x14ac:dyDescent="0.25">
      <c r="C1" s="1" t="s">
        <v>0</v>
      </c>
    </row>
    <row r="2" spans="1:5" ht="24" x14ac:dyDescent="0.25">
      <c r="C2" s="3" t="s">
        <v>156</v>
      </c>
    </row>
    <row r="4" spans="1:5" ht="39" customHeight="1" x14ac:dyDescent="0.25">
      <c r="C4" s="707" t="s">
        <v>230</v>
      </c>
      <c r="D4" s="708"/>
    </row>
    <row r="5" spans="1:5" ht="15.75" thickBot="1" x14ac:dyDescent="0.3"/>
    <row r="6" spans="1:5" ht="27.75" thickBot="1" x14ac:dyDescent="0.3">
      <c r="B6" s="5"/>
      <c r="C6" s="63" t="s">
        <v>157</v>
      </c>
      <c r="D6" s="207" t="s">
        <v>158</v>
      </c>
    </row>
    <row r="7" spans="1:5" ht="27.75" thickBot="1" x14ac:dyDescent="0.3">
      <c r="A7" s="194" t="s">
        <v>211</v>
      </c>
      <c r="C7" s="274" t="s">
        <v>117</v>
      </c>
      <c r="D7" s="227">
        <f>'Grille tarifaire'!I6</f>
        <v>9404.0400000000009</v>
      </c>
      <c r="E7" s="226"/>
    </row>
    <row r="8" spans="1:5" ht="15.75" thickBot="1" x14ac:dyDescent="0.3">
      <c r="C8" s="228"/>
      <c r="D8" s="228"/>
    </row>
    <row r="9" spans="1:5" ht="27.75" thickBot="1" x14ac:dyDescent="0.3">
      <c r="A9" s="194" t="s">
        <v>209</v>
      </c>
      <c r="C9" s="275" t="s">
        <v>117</v>
      </c>
      <c r="D9" s="62">
        <f>'Grille tarifaire'!J6</f>
        <v>9403.08</v>
      </c>
    </row>
    <row r="10" spans="1:5" ht="15.75" thickBot="1" x14ac:dyDescent="0.3">
      <c r="C10" s="228"/>
      <c r="D10" s="228"/>
    </row>
    <row r="11" spans="1:5" ht="27.75" thickBot="1" x14ac:dyDescent="0.3">
      <c r="A11" s="194" t="s">
        <v>210</v>
      </c>
      <c r="C11" s="275" t="s">
        <v>117</v>
      </c>
      <c r="D11" s="62">
        <f>'Grille tarifaire'!K6</f>
        <v>10032.24</v>
      </c>
    </row>
    <row r="12" spans="1:5" ht="15.75" thickBot="1" x14ac:dyDescent="0.3">
      <c r="C12" s="228"/>
      <c r="D12" s="228"/>
    </row>
    <row r="13" spans="1:5" ht="27.75" thickBot="1" x14ac:dyDescent="0.3">
      <c r="A13" s="194" t="s">
        <v>212</v>
      </c>
      <c r="C13" s="275" t="s">
        <v>117</v>
      </c>
      <c r="D13" s="62">
        <f>'Grille tarifaire'!L6</f>
        <v>10282.32</v>
      </c>
      <c r="E13" s="226"/>
    </row>
    <row r="24" ht="31.5" customHeight="1" x14ac:dyDescent="0.25"/>
    <row r="35" ht="28.5" customHeight="1" x14ac:dyDescent="0.25"/>
  </sheetData>
  <mergeCells count="1">
    <mergeCell ref="C4:D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sheetPr>
  <dimension ref="A1:G51"/>
  <sheetViews>
    <sheetView workbookViewId="0">
      <pane xSplit="1" ySplit="2" topLeftCell="B3" activePane="bottomRight" state="frozen"/>
      <selection pane="topRight" activeCell="B1" sqref="B1"/>
      <selection pane="bottomLeft" activeCell="A3" sqref="A3"/>
      <selection pane="bottomRight" activeCell="F14" sqref="F14"/>
    </sheetView>
  </sheetViews>
  <sheetFormatPr baseColWidth="10" defaultColWidth="9.140625" defaultRowHeight="15" x14ac:dyDescent="0.25"/>
  <cols>
    <col min="1" max="1" width="17.7109375" customWidth="1"/>
    <col min="2" max="2" width="3.85546875" customWidth="1"/>
    <col min="3" max="3" width="26.7109375" customWidth="1"/>
    <col min="4" max="5" width="28.7109375" customWidth="1"/>
    <col min="6" max="6" width="21.7109375" customWidth="1"/>
  </cols>
  <sheetData>
    <row r="1" spans="1:7" x14ac:dyDescent="0.25">
      <c r="C1" s="1" t="s">
        <v>0</v>
      </c>
    </row>
    <row r="2" spans="1:7" ht="24" x14ac:dyDescent="0.25">
      <c r="C2" s="3" t="s">
        <v>159</v>
      </c>
    </row>
    <row r="4" spans="1:7" ht="30.75" customHeight="1" x14ac:dyDescent="0.25">
      <c r="C4" s="707" t="s">
        <v>231</v>
      </c>
      <c r="D4" s="708"/>
      <c r="E4" s="708"/>
      <c r="F4" s="708"/>
    </row>
    <row r="5" spans="1:7" ht="15.75" thickBot="1" x14ac:dyDescent="0.3">
      <c r="D5" s="7"/>
      <c r="F5" s="61"/>
    </row>
    <row r="6" spans="1:7" ht="27.75" thickBot="1" x14ac:dyDescent="0.3">
      <c r="C6" s="63" t="s">
        <v>157</v>
      </c>
      <c r="D6" s="67" t="s">
        <v>160</v>
      </c>
      <c r="E6" s="65" t="s">
        <v>161</v>
      </c>
      <c r="F6" s="65" t="s">
        <v>162</v>
      </c>
    </row>
    <row r="7" spans="1:7" ht="15.75" thickBot="1" x14ac:dyDescent="0.3">
      <c r="A7" s="709" t="s">
        <v>211</v>
      </c>
      <c r="B7" s="230"/>
      <c r="C7" s="276" t="s">
        <v>117</v>
      </c>
      <c r="D7" s="64" t="s">
        <v>119</v>
      </c>
      <c r="E7" s="229" t="s">
        <v>163</v>
      </c>
      <c r="F7" s="66">
        <f>'Grille tarifaire'!I7</f>
        <v>3095.28</v>
      </c>
      <c r="G7" s="226"/>
    </row>
    <row r="8" spans="1:7" ht="15.75" thickBot="1" x14ac:dyDescent="0.3">
      <c r="A8" s="710"/>
      <c r="B8" s="230"/>
      <c r="C8" s="277" t="s">
        <v>117</v>
      </c>
      <c r="D8" s="62" t="s">
        <v>119</v>
      </c>
      <c r="E8" s="62" t="s">
        <v>164</v>
      </c>
      <c r="F8" s="8">
        <f>'Grille tarifaire'!I8</f>
        <v>555.72</v>
      </c>
      <c r="G8" s="226"/>
    </row>
    <row r="9" spans="1:7" ht="15.75" thickBot="1" x14ac:dyDescent="0.3">
      <c r="C9" s="6"/>
      <c r="D9" s="6"/>
      <c r="E9" s="6"/>
      <c r="F9" s="6"/>
    </row>
    <row r="10" spans="1:7" ht="15" customHeight="1" thickBot="1" x14ac:dyDescent="0.3">
      <c r="A10" s="709" t="s">
        <v>209</v>
      </c>
      <c r="C10" s="275" t="s">
        <v>117</v>
      </c>
      <c r="D10" s="62" t="s">
        <v>119</v>
      </c>
      <c r="E10" s="62" t="s">
        <v>163</v>
      </c>
      <c r="F10" s="62">
        <f>'Grille tarifaire'!J7</f>
        <v>3094.92</v>
      </c>
    </row>
    <row r="11" spans="1:7" ht="15.75" thickBot="1" x14ac:dyDescent="0.3">
      <c r="A11" s="710"/>
      <c r="C11" s="275" t="s">
        <v>117</v>
      </c>
      <c r="D11" s="62" t="s">
        <v>119</v>
      </c>
      <c r="E11" s="62" t="s">
        <v>164</v>
      </c>
      <c r="F11" s="62">
        <f>'Grille tarifaire'!J8</f>
        <v>555.72</v>
      </c>
    </row>
    <row r="12" spans="1:7" ht="15.75" thickBot="1" x14ac:dyDescent="0.3">
      <c r="C12" s="6"/>
      <c r="D12" s="6"/>
      <c r="E12" s="6"/>
      <c r="F12" s="6"/>
    </row>
    <row r="13" spans="1:7" ht="15.75" thickBot="1" x14ac:dyDescent="0.3">
      <c r="A13" s="709" t="s">
        <v>210</v>
      </c>
      <c r="B13" s="230"/>
      <c r="C13" s="275" t="s">
        <v>117</v>
      </c>
      <c r="D13" s="62" t="s">
        <v>119</v>
      </c>
      <c r="E13" s="62" t="s">
        <v>163</v>
      </c>
      <c r="F13" s="62">
        <f>'Grille tarifaire'!K7</f>
        <v>3302.04</v>
      </c>
    </row>
    <row r="14" spans="1:7" ht="15" customHeight="1" thickBot="1" x14ac:dyDescent="0.3">
      <c r="A14" s="710"/>
      <c r="C14" s="275" t="s">
        <v>117</v>
      </c>
      <c r="D14" s="62" t="s">
        <v>119</v>
      </c>
      <c r="E14" s="62" t="s">
        <v>164</v>
      </c>
      <c r="F14" s="62">
        <f>'Grille tarifaire'!K8</f>
        <v>592.79999999999995</v>
      </c>
    </row>
    <row r="15" spans="1:7" ht="15.75" thickBot="1" x14ac:dyDescent="0.3">
      <c r="C15" s="6"/>
      <c r="D15" s="6"/>
      <c r="E15" s="6"/>
      <c r="F15" s="6"/>
    </row>
    <row r="16" spans="1:7" ht="15.75" thickBot="1" x14ac:dyDescent="0.3">
      <c r="A16" s="709" t="s">
        <v>212</v>
      </c>
      <c r="C16" s="275" t="s">
        <v>117</v>
      </c>
      <c r="D16" s="62" t="s">
        <v>119</v>
      </c>
      <c r="E16" s="62" t="s">
        <v>163</v>
      </c>
      <c r="F16" s="62">
        <f>'Grille tarifaire'!L7</f>
        <v>3384.3599999999997</v>
      </c>
    </row>
    <row r="17" spans="1:6" ht="15.75" thickBot="1" x14ac:dyDescent="0.3">
      <c r="A17" s="710"/>
      <c r="B17" s="230"/>
      <c r="C17" s="275" t="s">
        <v>117</v>
      </c>
      <c r="D17" s="62" t="s">
        <v>119</v>
      </c>
      <c r="E17" s="62" t="s">
        <v>164</v>
      </c>
      <c r="F17" s="62">
        <f>'Grille tarifaire'!L8</f>
        <v>607.67999999999995</v>
      </c>
    </row>
    <row r="18" spans="1:6" x14ac:dyDescent="0.25">
      <c r="C18" s="6"/>
      <c r="D18" s="6"/>
      <c r="E18" s="6"/>
      <c r="F18" s="6"/>
    </row>
    <row r="24" spans="1:6" ht="60" customHeight="1" x14ac:dyDescent="0.25"/>
    <row r="32" spans="1:6" ht="15" customHeight="1" x14ac:dyDescent="0.25"/>
    <row r="40" ht="31.5" customHeight="1" x14ac:dyDescent="0.25"/>
    <row r="51" ht="28.5" customHeight="1" x14ac:dyDescent="0.25"/>
  </sheetData>
  <mergeCells count="5">
    <mergeCell ref="A7:A8"/>
    <mergeCell ref="A10:A11"/>
    <mergeCell ref="A13:A14"/>
    <mergeCell ref="A16:A17"/>
    <mergeCell ref="C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sheetPr>
  <dimension ref="A1:D25"/>
  <sheetViews>
    <sheetView workbookViewId="0">
      <pane xSplit="1" ySplit="2" topLeftCell="B3" activePane="bottomRight" state="frozen"/>
      <selection pane="topRight" activeCell="B1" sqref="B1"/>
      <selection pane="bottomLeft" activeCell="A3" sqref="A3"/>
      <selection pane="bottomRight" activeCell="D15" sqref="D15:D17"/>
    </sheetView>
  </sheetViews>
  <sheetFormatPr baseColWidth="10" defaultColWidth="11.28515625" defaultRowHeight="15" x14ac:dyDescent="0.25"/>
  <cols>
    <col min="1" max="1" width="17.7109375" customWidth="1"/>
    <col min="2" max="2" width="4.140625" customWidth="1"/>
    <col min="3" max="3" width="34" customWidth="1"/>
    <col min="4" max="4" width="21.7109375" customWidth="1"/>
  </cols>
  <sheetData>
    <row r="1" spans="1:4" x14ac:dyDescent="0.25">
      <c r="C1" s="1" t="s">
        <v>0</v>
      </c>
    </row>
    <row r="2" spans="1:4" ht="24" x14ac:dyDescent="0.25">
      <c r="C2" s="3" t="s">
        <v>165</v>
      </c>
    </row>
    <row r="4" spans="1:4" ht="45.95" customHeight="1" x14ac:dyDescent="0.25">
      <c r="C4" s="707" t="s">
        <v>232</v>
      </c>
      <c r="D4" s="708"/>
    </row>
    <row r="5" spans="1:4" ht="15.75" thickBot="1" x14ac:dyDescent="0.3">
      <c r="D5" s="61"/>
    </row>
    <row r="6" spans="1:4" ht="27.75" thickBot="1" x14ac:dyDescent="0.3">
      <c r="C6" s="63" t="s">
        <v>157</v>
      </c>
      <c r="D6" s="65" t="s">
        <v>166</v>
      </c>
    </row>
    <row r="7" spans="1:4" ht="15.75" customHeight="1" thickBot="1" x14ac:dyDescent="0.3">
      <c r="A7" s="709" t="s">
        <v>211</v>
      </c>
      <c r="B7" s="230"/>
      <c r="C7" s="274" t="s">
        <v>123</v>
      </c>
      <c r="D7" s="231">
        <f>'Grille tarifaire'!I9</f>
        <v>23</v>
      </c>
    </row>
    <row r="8" spans="1:4" ht="15.75" customHeight="1" thickBot="1" x14ac:dyDescent="0.3">
      <c r="A8" s="710"/>
      <c r="B8" s="230"/>
      <c r="C8" s="278" t="s">
        <v>125</v>
      </c>
      <c r="D8" s="66">
        <f>'Grille tarifaire'!I10</f>
        <v>23</v>
      </c>
    </row>
    <row r="9" spans="1:4" ht="15.75" thickBot="1" x14ac:dyDescent="0.3">
      <c r="A9" s="710"/>
      <c r="B9" s="230"/>
      <c r="C9" s="275" t="s">
        <v>126</v>
      </c>
      <c r="D9" s="66">
        <f>'Grille tarifaire'!I11</f>
        <v>0</v>
      </c>
    </row>
    <row r="10" spans="1:4" ht="15" customHeight="1" thickBot="1" x14ac:dyDescent="0.3">
      <c r="A10" s="88"/>
      <c r="C10" s="6"/>
      <c r="D10" s="6"/>
    </row>
    <row r="11" spans="1:4" ht="15.75" thickBot="1" x14ac:dyDescent="0.3">
      <c r="A11" s="709" t="s">
        <v>209</v>
      </c>
      <c r="B11" s="230"/>
      <c r="C11" s="275" t="s">
        <v>123</v>
      </c>
      <c r="D11" s="62">
        <f>'Grille tarifaire'!J9</f>
        <v>23</v>
      </c>
    </row>
    <row r="12" spans="1:4" ht="15.75" thickBot="1" x14ac:dyDescent="0.3">
      <c r="A12" s="710"/>
      <c r="B12" s="230"/>
      <c r="C12" s="275" t="s">
        <v>125</v>
      </c>
      <c r="D12" s="62">
        <f>'Grille tarifaire'!J10</f>
        <v>23</v>
      </c>
    </row>
    <row r="13" spans="1:4" ht="15.75" customHeight="1" thickBot="1" x14ac:dyDescent="0.3">
      <c r="A13" s="710"/>
      <c r="B13" s="230"/>
      <c r="C13" s="275" t="s">
        <v>126</v>
      </c>
      <c r="D13" s="62">
        <f>'Grille tarifaire'!J11</f>
        <v>0</v>
      </c>
    </row>
    <row r="14" spans="1:4" ht="15.75" thickBot="1" x14ac:dyDescent="0.3">
      <c r="A14" s="90"/>
      <c r="C14" s="228"/>
      <c r="D14" s="6"/>
    </row>
    <row r="15" spans="1:4" ht="15.75" thickBot="1" x14ac:dyDescent="0.3">
      <c r="A15" s="711" t="s">
        <v>210</v>
      </c>
      <c r="C15" s="275" t="s">
        <v>123</v>
      </c>
      <c r="D15" s="62">
        <f>'Grille tarifaire'!K9</f>
        <v>23</v>
      </c>
    </row>
    <row r="16" spans="1:4" ht="15" customHeight="1" thickBot="1" x14ac:dyDescent="0.3">
      <c r="A16" s="708"/>
      <c r="C16" s="277" t="s">
        <v>125</v>
      </c>
      <c r="D16" s="62">
        <f>'Grille tarifaire'!K10</f>
        <v>23</v>
      </c>
    </row>
    <row r="17" spans="1:4" ht="15.75" thickBot="1" x14ac:dyDescent="0.3">
      <c r="A17" s="712"/>
      <c r="C17" s="277" t="s">
        <v>126</v>
      </c>
      <c r="D17" s="62">
        <f>'Grille tarifaire'!K11</f>
        <v>0</v>
      </c>
    </row>
    <row r="18" spans="1:4" ht="15.75" customHeight="1" thickBot="1" x14ac:dyDescent="0.3">
      <c r="A18" s="89"/>
      <c r="C18" s="6"/>
      <c r="D18" s="6"/>
    </row>
    <row r="19" spans="1:4" ht="15.75" thickBot="1" x14ac:dyDescent="0.3">
      <c r="A19" s="709" t="s">
        <v>212</v>
      </c>
      <c r="C19" s="275" t="s">
        <v>123</v>
      </c>
      <c r="D19" s="62">
        <f>'Grille tarifaire'!L9</f>
        <v>23</v>
      </c>
    </row>
    <row r="20" spans="1:4" ht="15.75" thickBot="1" x14ac:dyDescent="0.3">
      <c r="A20" s="710"/>
      <c r="C20" s="277" t="s">
        <v>125</v>
      </c>
      <c r="D20" s="62">
        <f>'Grille tarifaire'!L10</f>
        <v>23</v>
      </c>
    </row>
    <row r="21" spans="1:4" ht="15.75" thickBot="1" x14ac:dyDescent="0.3">
      <c r="A21" s="713"/>
      <c r="C21" s="277" t="s">
        <v>126</v>
      </c>
      <c r="D21" s="62">
        <f>'Grille tarifaire'!L11</f>
        <v>0</v>
      </c>
    </row>
    <row r="22" spans="1:4" x14ac:dyDescent="0.25">
      <c r="C22" s="6"/>
    </row>
    <row r="23" spans="1:4" ht="15" customHeight="1" x14ac:dyDescent="0.25">
      <c r="A23" s="88"/>
    </row>
    <row r="24" spans="1:4" x14ac:dyDescent="0.25">
      <c r="A24" s="88"/>
    </row>
    <row r="25" spans="1:4" x14ac:dyDescent="0.25">
      <c r="A25" s="88"/>
    </row>
  </sheetData>
  <mergeCells count="5">
    <mergeCell ref="C4:D4"/>
    <mergeCell ref="A7:A9"/>
    <mergeCell ref="A11:A13"/>
    <mergeCell ref="A15:A17"/>
    <mergeCell ref="A19:A2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407A6EC4B95340AC27CB3C7E55252E" ma:contentTypeVersion="8" ma:contentTypeDescription="Crée un document." ma:contentTypeScope="" ma:versionID="22bfc6bf5d54b75d7073143dafe22f5e">
  <xsd:schema xmlns:xsd="http://www.w3.org/2001/XMLSchema" xmlns:xs="http://www.w3.org/2001/XMLSchema" xmlns:p="http://schemas.microsoft.com/office/2006/metadata/properties" xmlns:ns3="4eef01b6-2807-45da-a158-2bb2fb7998bb" xmlns:ns4="72be76ca-0f39-41c6-a2ea-2b381aa5f716" targetNamespace="http://schemas.microsoft.com/office/2006/metadata/properties" ma:root="true" ma:fieldsID="80aae4cd74bb3636162d7d6d6f474527" ns3:_="" ns4:_="">
    <xsd:import namespace="4eef01b6-2807-45da-a158-2bb2fb7998bb"/>
    <xsd:import namespace="72be76ca-0f39-41c6-a2ea-2b381aa5f71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ef01b6-2807-45da-a158-2bb2fb7998bb"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SharingHintHash" ma:index="10" nillable="true" ma:displayName="Partage du hachage d’indicateu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be76ca-0f39-41c6-a2ea-2b381aa5f71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CBA2BE-C4CA-4397-A0DA-747EE7E0A27D}">
  <ds:schemaRefs>
    <ds:schemaRef ds:uri="4eef01b6-2807-45da-a158-2bb2fb7998bb"/>
    <ds:schemaRef ds:uri="http://purl.org/dc/elements/1.1/"/>
    <ds:schemaRef ds:uri="http://schemas.openxmlformats.org/package/2006/metadata/core-properties"/>
    <ds:schemaRef ds:uri="http://purl.org/dc/terms/"/>
    <ds:schemaRef ds:uri="http://schemas.microsoft.com/office/infopath/2007/PartnerControls"/>
    <ds:schemaRef ds:uri="http://www.w3.org/XML/1998/namespace"/>
    <ds:schemaRef ds:uri="http://schemas.microsoft.com/office/2006/documentManagement/types"/>
    <ds:schemaRef ds:uri="72be76ca-0f39-41c6-a2ea-2b381aa5f716"/>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72F5E4F4-C0D8-4188-972B-D6C6EDBF2E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ef01b6-2807-45da-a158-2bb2fb7998bb"/>
    <ds:schemaRef ds:uri="72be76ca-0f39-41c6-a2ea-2b381aa5f7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CA931A-46F3-4CA0-8227-212891361B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NOTICE</vt:lpstr>
      <vt:lpstr>Equilibre prévisionnel</vt:lpstr>
      <vt:lpstr>IPC</vt:lpstr>
      <vt:lpstr>Montants réalisés</vt:lpstr>
      <vt:lpstr>CRCP &amp; évolutions</vt:lpstr>
      <vt:lpstr>Grille tarifaire</vt:lpstr>
      <vt:lpstr>CG</vt:lpstr>
      <vt:lpstr>CC</vt:lpstr>
      <vt:lpstr>CI</vt:lpstr>
      <vt:lpstr>CS - HTB 3</vt:lpstr>
      <vt:lpstr>CS et CMDPS - HTB 2</vt:lpstr>
      <vt:lpstr>CS et CMDPS - HTB 1</vt:lpstr>
      <vt:lpstr>CACS</vt:lpstr>
      <vt:lpstr>CR</vt:lpstr>
      <vt:lpstr>CT</vt:lpstr>
      <vt:lpstr>CDPP</vt:lpstr>
      <vt:lpstr>CER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2023-06-09T12:25:05Z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0x0101007B407A6EC4B95340AC27CB3C7E55252E</vt:lpwstr>
  </property>
</Properties>
</file>